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ate1904="1" showInkAnnotation="0"/>
  <mc:AlternateContent xmlns:mc="http://schemas.openxmlformats.org/markup-compatibility/2006">
    <mc:Choice Requires="x15">
      <x15ac:absPath xmlns:x15ac="http://schemas.microsoft.com/office/spreadsheetml/2010/11/ac" url="https://cpslo-my.sharepoint.com/personal/slayous_calpoly_edu/Documents/Projects/01 Software/ITRC Flap Gate Program/Updated Program/"/>
    </mc:Choice>
  </mc:AlternateContent>
  <xr:revisionPtr revIDLastSave="22" documentId="8_{E7E92DE0-F69B-440B-973A-B6E9A279F844}" xr6:coauthVersionLast="47" xr6:coauthVersionMax="47" xr10:uidLastSave="{DE96A1B8-4277-46F9-B510-567B7EEA245F}"/>
  <bookViews>
    <workbookView xWindow="1950" yWindow="1095" windowWidth="25575" windowHeight="20505" tabRatio="599" xr2:uid="{00000000-000D-0000-FFFF-FFFF00000000}"/>
  </bookViews>
  <sheets>
    <sheet name="Designer" sheetId="1" r:id="rId1"/>
    <sheet name="Solidworks Values" sheetId="3" state="hidden" r:id="rId2"/>
    <sheet name="Installation" sheetId="4" r:id="rId3"/>
    <sheet name="Tuning" sheetId="5" r:id="rId4"/>
  </sheets>
  <definedNames>
    <definedName name="_xlnm.Print_Area" localSheetId="0">Designer!$B$1:$I$237</definedName>
    <definedName name="_xlnm.Print_Area" localSheetId="2">Installation!$A$1:$K$220</definedName>
    <definedName name="solver_adj" localSheetId="0" hidden="1">Designer!#REF!,Designer!$C$85,Designer!$C$40,Designer!$C$76</definedName>
    <definedName name="solver_cvg" localSheetId="0" hidden="1">0.001</definedName>
    <definedName name="solver_drv" localSheetId="0" hidden="1">1</definedName>
    <definedName name="solver_est" localSheetId="0" hidden="1">1</definedName>
    <definedName name="solver_itr" localSheetId="0" hidden="1">100</definedName>
    <definedName name="solver_lhs1" localSheetId="0" hidden="1">Designer!$G$65</definedName>
    <definedName name="solver_lhs2" localSheetId="0" hidden="1">Designer!#REF!</definedName>
    <definedName name="solver_lhs3" localSheetId="0" hidden="1">Designer!#REF!</definedName>
    <definedName name="solver_lin" localSheetId="0" hidden="1">2</definedName>
    <definedName name="solver_neg" localSheetId="0" hidden="1">2</definedName>
    <definedName name="solver_num" localSheetId="0" hidden="1">3</definedName>
    <definedName name="solver_nwt" localSheetId="0" hidden="1">1</definedName>
    <definedName name="solver_opt" localSheetId="0" hidden="1">Designer!#REF!</definedName>
    <definedName name="solver_pre" localSheetId="0" hidden="1">0.000001</definedName>
    <definedName name="solver_rel1" localSheetId="0" hidden="1">2</definedName>
    <definedName name="solver_rel2" localSheetId="0" hidden="1">1</definedName>
    <definedName name="solver_rel3" localSheetId="0" hidden="1">3</definedName>
    <definedName name="solver_rhs1" localSheetId="0" hidden="1">Designer!$G$66</definedName>
    <definedName name="solver_rhs2" localSheetId="0" hidden="1">Designer!$C$34</definedName>
    <definedName name="solver_rhs3" localSheetId="0" hidden="1">1.4</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2</definedName>
    <definedName name="solver_val" localSheetId="0" hidde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1" i="1" l="1"/>
  <c r="AK80" i="1"/>
  <c r="F131" i="1" l="1"/>
  <c r="I62" i="1"/>
  <c r="I64" i="1"/>
  <c r="I77" i="1"/>
  <c r="D24" i="1"/>
  <c r="D36" i="1"/>
  <c r="D37" i="1" s="1"/>
  <c r="D23" i="1"/>
  <c r="B15" i="3"/>
  <c r="AI82" i="1"/>
  <c r="AF82" i="1"/>
  <c r="AI81" i="1"/>
  <c r="AF81" i="1"/>
  <c r="AH81" i="1" s="1"/>
  <c r="AL81" i="1" s="1"/>
  <c r="AF80" i="1"/>
  <c r="AH80" i="1" s="1"/>
  <c r="AK78" i="1"/>
  <c r="AK76" i="1"/>
  <c r="AI76" i="1"/>
  <c r="AI78" i="1" s="1"/>
  <c r="I55" i="1" l="1"/>
  <c r="D25" i="1"/>
  <c r="D45" i="1" s="1"/>
  <c r="D30" i="1"/>
  <c r="I57" i="1" s="1"/>
  <c r="AK77" i="1"/>
  <c r="AK79" i="1" s="1"/>
  <c r="AI79" i="1"/>
  <c r="AI77" i="1"/>
  <c r="AL80" i="1"/>
  <c r="AJ81" i="1"/>
  <c r="AI80" i="1"/>
  <c r="AJ80" i="1" s="1"/>
  <c r="B53" i="3"/>
  <c r="E43" i="3"/>
  <c r="E14" i="3"/>
  <c r="B73" i="1" l="1"/>
  <c r="AK84" i="1" l="1"/>
  <c r="AK83" i="1"/>
  <c r="AF119" i="1"/>
  <c r="AF120" i="1"/>
  <c r="AF121" i="1"/>
  <c r="B110" i="1"/>
  <c r="AF130" i="1" l="1"/>
  <c r="AF131" i="1"/>
  <c r="AF145" i="1" l="1"/>
  <c r="AF144" i="1"/>
  <c r="AF140" i="1"/>
  <c r="F125" i="1" l="1"/>
  <c r="AI159" i="1" l="1"/>
  <c r="AI158" i="1"/>
  <c r="AI157" i="1"/>
  <c r="AI156" i="1"/>
  <c r="AI155" i="1"/>
  <c r="AI154" i="1"/>
  <c r="AI153" i="1"/>
  <c r="AI152" i="1"/>
  <c r="AI150" i="1"/>
  <c r="AI151" i="1"/>
  <c r="AI149" i="1"/>
  <c r="AI148" i="1"/>
  <c r="AH158" i="1"/>
  <c r="AH157" i="1"/>
  <c r="AH156" i="1"/>
  <c r="AH155" i="1"/>
  <c r="AH154" i="1"/>
  <c r="AH153" i="1"/>
  <c r="AH152" i="1"/>
  <c r="AH151" i="1"/>
  <c r="AH150" i="1"/>
  <c r="AH149" i="1"/>
  <c r="B50" i="3"/>
  <c r="E40" i="3"/>
  <c r="B49" i="3"/>
  <c r="E39" i="3"/>
  <c r="AF141" i="1" l="1"/>
  <c r="E142" i="1"/>
  <c r="AF133" i="1"/>
  <c r="AF132" i="1"/>
  <c r="E36" i="3" l="1"/>
  <c r="B46" i="3"/>
  <c r="I142" i="1"/>
  <c r="H142" i="1"/>
  <c r="AF122" i="1"/>
  <c r="D90" i="1"/>
  <c r="D112" i="1"/>
  <c r="D110" i="1"/>
  <c r="D109" i="1"/>
  <c r="E38" i="3" l="1"/>
  <c r="B48" i="3"/>
  <c r="AF99" i="1" l="1"/>
  <c r="B45" i="3" l="1"/>
  <c r="E3" i="3" l="1"/>
  <c r="AC185" i="1" l="1"/>
  <c r="E31" i="3" l="1"/>
  <c r="E29" i="3"/>
  <c r="E24" i="3"/>
  <c r="E23" i="3"/>
  <c r="E22" i="3"/>
  <c r="E21" i="3"/>
  <c r="E20" i="3"/>
  <c r="E19" i="3"/>
  <c r="E18" i="3"/>
  <c r="E17" i="3"/>
  <c r="E15" i="3"/>
  <c r="E12" i="3"/>
  <c r="E11" i="3"/>
  <c r="E10" i="3"/>
  <c r="E9" i="3"/>
  <c r="E8" i="3"/>
  <c r="E7" i="3"/>
  <c r="E6" i="3"/>
  <c r="E5" i="3"/>
  <c r="E4" i="3"/>
  <c r="E2" i="3"/>
  <c r="B40" i="3"/>
  <c r="B38" i="3"/>
  <c r="B33" i="3"/>
  <c r="B32" i="3"/>
  <c r="B31" i="3"/>
  <c r="B30" i="3"/>
  <c r="B29" i="3"/>
  <c r="B28" i="3"/>
  <c r="B26" i="3"/>
  <c r="B25" i="3"/>
  <c r="B22" i="3"/>
  <c r="B21" i="3"/>
  <c r="B19" i="3"/>
  <c r="B17" i="3"/>
  <c r="B14" i="3"/>
  <c r="B13" i="3"/>
  <c r="B12" i="3"/>
  <c r="B11" i="3"/>
  <c r="B10" i="3"/>
  <c r="B7" i="3"/>
  <c r="B6" i="3"/>
  <c r="B5" i="3"/>
  <c r="B4" i="3"/>
  <c r="B3" i="3"/>
  <c r="AE162" i="1" l="1"/>
  <c r="G154" i="1" l="1"/>
  <c r="B75" i="1"/>
  <c r="B74" i="1"/>
  <c r="I155" i="1" l="1"/>
  <c r="F155" i="1" l="1"/>
  <c r="H147" i="1" l="1"/>
  <c r="AC189" i="1" s="1"/>
  <c r="E34" i="3" l="1"/>
  <c r="B43" i="3"/>
  <c r="AN23" i="1" l="1"/>
  <c r="AM23" i="1"/>
  <c r="AK9" i="1"/>
  <c r="AM9" i="1" s="1"/>
  <c r="AK7" i="1"/>
  <c r="AM7" i="1" s="1"/>
  <c r="AM14" i="1" l="1"/>
  <c r="F146" i="1" l="1"/>
  <c r="E133" i="1" l="1"/>
  <c r="I131" i="1"/>
  <c r="F145" i="1"/>
  <c r="F147" i="1"/>
  <c r="E122" i="1" l="1"/>
  <c r="E121" i="1"/>
  <c r="AI108" i="1"/>
  <c r="F122" i="1" l="1"/>
  <c r="C198" i="1"/>
  <c r="C197" i="1"/>
  <c r="AC188" i="1"/>
  <c r="AC187" i="1"/>
  <c r="AC186" i="1"/>
  <c r="AC194" i="1" l="1"/>
  <c r="AC192" i="1"/>
  <c r="AC196" i="1"/>
  <c r="C199" i="1" s="1"/>
  <c r="AC193" i="1"/>
  <c r="F152" i="1" l="1"/>
  <c r="F134" i="1"/>
  <c r="F133" i="1"/>
  <c r="F132" i="1"/>
  <c r="E119" i="1" s="1"/>
  <c r="D69" i="1"/>
  <c r="H152" i="1" s="1"/>
  <c r="AE87" i="1"/>
  <c r="F154" i="1" s="1"/>
  <c r="E134" i="1"/>
  <c r="F153" i="1"/>
  <c r="E120" i="1" l="1"/>
  <c r="I151" i="1"/>
  <c r="F151" i="1"/>
  <c r="H151" i="1"/>
  <c r="F120" i="1" l="1"/>
  <c r="AI9" i="1" l="1"/>
  <c r="D11" i="1"/>
  <c r="AG9" i="1"/>
  <c r="AG7" i="1"/>
  <c r="AI7" i="1" s="1"/>
  <c r="AE86" i="1"/>
  <c r="AH86" i="1" s="1"/>
  <c r="AH87" i="1"/>
  <c r="AK75" i="1"/>
  <c r="H134" i="1"/>
  <c r="AK85" i="1"/>
  <c r="AK86" i="1"/>
  <c r="AK87" i="1"/>
  <c r="AI75" i="1"/>
  <c r="B2" i="3"/>
  <c r="D42" i="1"/>
  <c r="AI121" i="1" s="1"/>
  <c r="H132" i="1"/>
  <c r="F141" i="1"/>
  <c r="F184" i="1"/>
  <c r="F185" i="1"/>
  <c r="F186" i="1"/>
  <c r="F187" i="1"/>
  <c r="F188" i="1"/>
  <c r="F189" i="1"/>
  <c r="F190" i="1"/>
  <c r="E117" i="1"/>
  <c r="E118" i="1"/>
  <c r="E116" i="1"/>
  <c r="B23" i="3" l="1"/>
  <c r="D22" i="1"/>
  <c r="AI87" i="1"/>
  <c r="AJ87" i="1" s="1"/>
  <c r="AI84" i="1"/>
  <c r="AI83" i="1"/>
  <c r="B9" i="3"/>
  <c r="AI14" i="1"/>
  <c r="B27" i="3"/>
  <c r="AI86" i="1"/>
  <c r="AJ86" i="1" s="1"/>
  <c r="AI85" i="1"/>
  <c r="F138" i="1"/>
  <c r="E28" i="3" s="1"/>
  <c r="AL87" i="1"/>
  <c r="AL86" i="1"/>
  <c r="G81" i="1"/>
  <c r="I83" i="1" s="1"/>
  <c r="G80" i="1"/>
  <c r="I81" i="1" s="1"/>
  <c r="B37" i="3" l="1"/>
  <c r="B42" i="3"/>
  <c r="E33" i="3"/>
  <c r="E13" i="3"/>
  <c r="B20" i="3"/>
  <c r="E138" i="1"/>
  <c r="H145" i="1"/>
  <c r="E148" i="1"/>
  <c r="AF79" i="1" l="1"/>
  <c r="AH79" i="1" s="1"/>
  <c r="AL79" i="1" s="1"/>
  <c r="AI126" i="1"/>
  <c r="AF101" i="1"/>
  <c r="AK8" i="1"/>
  <c r="AM8" i="1" s="1"/>
  <c r="AN22" i="1" s="1"/>
  <c r="E16" i="3"/>
  <c r="B24" i="3"/>
  <c r="H146" i="1"/>
  <c r="G122" i="1" s="1"/>
  <c r="B16" i="3"/>
  <c r="B18" i="3"/>
  <c r="H153" i="1"/>
  <c r="AE84" i="1" s="1"/>
  <c r="AH95" i="1"/>
  <c r="H141" i="1"/>
  <c r="AF142" i="1" s="1"/>
  <c r="AF143" i="1" s="1"/>
  <c r="AF147" i="1" s="1"/>
  <c r="AG8" i="1"/>
  <c r="AI8" i="1" s="1"/>
  <c r="AI13" i="1" s="1"/>
  <c r="AE27" i="1" s="1"/>
  <c r="AJ79" i="1" l="1"/>
  <c r="B8" i="3"/>
  <c r="D46" i="1"/>
  <c r="I59" i="1" s="1"/>
  <c r="G120" i="1"/>
  <c r="AH84" i="1"/>
  <c r="AF149" i="1"/>
  <c r="AF151" i="1"/>
  <c r="AF150" i="1"/>
  <c r="AF148" i="1"/>
  <c r="G121" i="1"/>
  <c r="AI131" i="1"/>
  <c r="AI133" i="1" s="1"/>
  <c r="AI134" i="1" s="1"/>
  <c r="AM22" i="1"/>
  <c r="AM13" i="1"/>
  <c r="AE38" i="1" s="1"/>
  <c r="AF38" i="1" s="1"/>
  <c r="AF83" i="1"/>
  <c r="AH83" i="1" s="1"/>
  <c r="AF27" i="1"/>
  <c r="H131" i="1"/>
  <c r="AL22" i="1"/>
  <c r="AL27" i="1" s="1"/>
  <c r="H155" i="1"/>
  <c r="AI15" i="1"/>
  <c r="AG15" i="1" s="1"/>
  <c r="G65" i="1" s="1"/>
  <c r="AK22" i="1"/>
  <c r="AK27" i="1" s="1"/>
  <c r="AG13" i="1"/>
  <c r="B54" i="3" l="1"/>
  <c r="E44" i="3"/>
  <c r="AG82" i="1"/>
  <c r="AH82" i="1" s="1"/>
  <c r="AF76" i="1"/>
  <c r="AF84" i="1"/>
  <c r="AH90" i="1"/>
  <c r="AF85" i="1"/>
  <c r="AL84" i="1"/>
  <c r="D73" i="1"/>
  <c r="D74" i="1" s="1"/>
  <c r="E155" i="1" s="1"/>
  <c r="AJ84" i="1"/>
  <c r="AF152" i="1"/>
  <c r="AF153" i="1" s="1"/>
  <c r="AF155" i="1" s="1"/>
  <c r="B111" i="1" s="1"/>
  <c r="AF102" i="1"/>
  <c r="F142" i="1" s="1"/>
  <c r="B47" i="3" s="1"/>
  <c r="AE30" i="1"/>
  <c r="AK30" i="1" s="1"/>
  <c r="AE37" i="1"/>
  <c r="AK37" i="1" s="1"/>
  <c r="AE34" i="1"/>
  <c r="AL34" i="1" s="1"/>
  <c r="AE29" i="1"/>
  <c r="AF29" i="1" s="1"/>
  <c r="AE44" i="1"/>
  <c r="AF44" i="1" s="1"/>
  <c r="AE41" i="1"/>
  <c r="AL41" i="1" s="1"/>
  <c r="AE36" i="1"/>
  <c r="AK36" i="1" s="1"/>
  <c r="AE33" i="1"/>
  <c r="AK33" i="1" s="1"/>
  <c r="AE42" i="1"/>
  <c r="AL42" i="1" s="1"/>
  <c r="AE28" i="1"/>
  <c r="AF28" i="1" s="1"/>
  <c r="AE40" i="1"/>
  <c r="AK40" i="1" s="1"/>
  <c r="AE45" i="1"/>
  <c r="AL45" i="1" s="1"/>
  <c r="AE47" i="1"/>
  <c r="AK47" i="1" s="1"/>
  <c r="AE32" i="1"/>
  <c r="AK32" i="1" s="1"/>
  <c r="AE43" i="1"/>
  <c r="AL43" i="1" s="1"/>
  <c r="AE39" i="1"/>
  <c r="AK39" i="1" s="1"/>
  <c r="AE46" i="1"/>
  <c r="AK46" i="1" s="1"/>
  <c r="AE35" i="1"/>
  <c r="AF35" i="1" s="1"/>
  <c r="AE31" i="1"/>
  <c r="AF31" i="1" s="1"/>
  <c r="AL38" i="1"/>
  <c r="AK38" i="1"/>
  <c r="AM27" i="1"/>
  <c r="AE75" i="1"/>
  <c r="AH75" i="1" s="1"/>
  <c r="I69" i="1" l="1"/>
  <c r="AF77" i="1"/>
  <c r="AH77" i="1" s="1"/>
  <c r="AL82" i="1"/>
  <c r="AJ82" i="1"/>
  <c r="E124" i="1"/>
  <c r="B56" i="3"/>
  <c r="E46" i="3"/>
  <c r="AH76" i="1"/>
  <c r="AF78" i="1"/>
  <c r="AH78" i="1" s="1"/>
  <c r="E42" i="3"/>
  <c r="F41" i="3" s="1"/>
  <c r="B52" i="3"/>
  <c r="AH91" i="1"/>
  <c r="E125" i="1" s="1"/>
  <c r="AG84" i="1"/>
  <c r="AL75" i="1"/>
  <c r="E37" i="3"/>
  <c r="AF37" i="1"/>
  <c r="AL40" i="1"/>
  <c r="AM40" i="1" s="1"/>
  <c r="AK42" i="1"/>
  <c r="AM42" i="1" s="1"/>
  <c r="AL37" i="1"/>
  <c r="AM37" i="1" s="1"/>
  <c r="AK44" i="1"/>
  <c r="AF34" i="1"/>
  <c r="AL28" i="1"/>
  <c r="AK28" i="1"/>
  <c r="AL39" i="1"/>
  <c r="AM39" i="1" s="1"/>
  <c r="AK34" i="1"/>
  <c r="AM34" i="1" s="1"/>
  <c r="AK29" i="1"/>
  <c r="AK41" i="1"/>
  <c r="AM41" i="1" s="1"/>
  <c r="AL44" i="1"/>
  <c r="AL47" i="1"/>
  <c r="AM47" i="1" s="1"/>
  <c r="AK31" i="1"/>
  <c r="AL29" i="1"/>
  <c r="AK43" i="1"/>
  <c r="AM43" i="1" s="1"/>
  <c r="AL33" i="1"/>
  <c r="AM33" i="1" s="1"/>
  <c r="AF40" i="1"/>
  <c r="AL31" i="1"/>
  <c r="AF30" i="1"/>
  <c r="AF41" i="1"/>
  <c r="AF33" i="1"/>
  <c r="AL30" i="1"/>
  <c r="AM30" i="1" s="1"/>
  <c r="AF32" i="1"/>
  <c r="AL32" i="1"/>
  <c r="AM32" i="1" s="1"/>
  <c r="AF36" i="1"/>
  <c r="AF43" i="1"/>
  <c r="AF47" i="1"/>
  <c r="AF46" i="1"/>
  <c r="AL46" i="1"/>
  <c r="AM46" i="1" s="1"/>
  <c r="AK45" i="1"/>
  <c r="AM45" i="1" s="1"/>
  <c r="AF39" i="1"/>
  <c r="AF45" i="1"/>
  <c r="AK35" i="1"/>
  <c r="AL35" i="1"/>
  <c r="AL36" i="1"/>
  <c r="AM36" i="1" s="1"/>
  <c r="AF42" i="1"/>
  <c r="AJ75" i="1"/>
  <c r="AM38" i="1"/>
  <c r="AJ83" i="1"/>
  <c r="AL83" i="1"/>
  <c r="AJ77" i="1" l="1"/>
  <c r="AL77" i="1"/>
  <c r="AL78" i="1"/>
  <c r="AJ78" i="1"/>
  <c r="AJ76" i="1"/>
  <c r="AL76" i="1"/>
  <c r="AM44" i="1"/>
  <c r="AM28" i="1"/>
  <c r="AM31" i="1"/>
  <c r="AM29" i="1"/>
  <c r="AM35" i="1"/>
  <c r="H133" i="1"/>
  <c r="F135" i="1"/>
  <c r="E25" i="3" s="1"/>
  <c r="AH85" i="1"/>
  <c r="E132" i="1"/>
  <c r="G71" i="1"/>
  <c r="I71" i="1" l="1"/>
  <c r="I73" i="1"/>
  <c r="AH92" i="1"/>
  <c r="E123" i="1" s="1"/>
  <c r="E32" i="3"/>
  <c r="B41" i="3"/>
  <c r="B34" i="3"/>
  <c r="AL85" i="1"/>
  <c r="AJ85" i="1"/>
  <c r="E135" i="1"/>
  <c r="B55" i="3" l="1"/>
  <c r="E45" i="3"/>
  <c r="AG10" i="1"/>
  <c r="E126" i="1"/>
  <c r="AI10" i="1" l="1"/>
  <c r="AK10" i="1"/>
  <c r="AM10" i="1" s="1"/>
  <c r="F136" i="1" l="1"/>
  <c r="E26" i="3" l="1"/>
  <c r="E136" i="1"/>
  <c r="B35" i="3"/>
  <c r="F137" i="1"/>
  <c r="E27" i="3" l="1"/>
  <c r="B36" i="3"/>
  <c r="E137" i="1"/>
  <c r="G119" i="1" s="1"/>
  <c r="AL90" i="1"/>
  <c r="AL91" i="1"/>
  <c r="AH88" i="1"/>
  <c r="AI16" i="1" s="1"/>
  <c r="AJ88" i="1"/>
  <c r="AL88" i="1"/>
  <c r="AL92" i="1" l="1"/>
  <c r="E47" i="3" s="1"/>
  <c r="AG16" i="1"/>
  <c r="AF103" i="1"/>
  <c r="AF134" i="1" s="1"/>
  <c r="AI88" i="1"/>
  <c r="AE88" i="1" s="1"/>
  <c r="AG11" i="1" s="1"/>
  <c r="AI11" i="1" s="1"/>
  <c r="AK88" i="1"/>
  <c r="AE89" i="1" s="1"/>
  <c r="AG12" i="1" s="1"/>
  <c r="AI12" i="1" s="1"/>
  <c r="G66" i="1" l="1"/>
  <c r="I66" i="1" s="1"/>
  <c r="AG17" i="1"/>
  <c r="E127" i="1"/>
  <c r="AC190" i="1" s="1"/>
  <c r="AC195" i="1" s="1"/>
  <c r="C200" i="1" s="1"/>
  <c r="AF123" i="1"/>
  <c r="AF125" i="1" s="1"/>
  <c r="G112" i="1" s="1"/>
  <c r="I112" i="1" s="1"/>
  <c r="AF105" i="1"/>
  <c r="G85" i="1" s="1"/>
  <c r="AG31" i="1"/>
  <c r="AI31" i="1" s="1"/>
  <c r="AG34" i="1"/>
  <c r="AI34" i="1" s="1"/>
  <c r="G79" i="1"/>
  <c r="I79" i="1" s="1"/>
  <c r="AG27" i="1"/>
  <c r="AI27" i="1" s="1"/>
  <c r="AG33" i="1"/>
  <c r="AI33" i="1" s="1"/>
  <c r="AG45" i="1"/>
  <c r="AH45" i="1" s="1"/>
  <c r="AG29" i="1"/>
  <c r="AH29" i="1" s="1"/>
  <c r="AG43" i="1"/>
  <c r="AI43" i="1" s="1"/>
  <c r="AG47" i="1"/>
  <c r="AI47" i="1" s="1"/>
  <c r="AG35" i="1"/>
  <c r="AI35" i="1" s="1"/>
  <c r="AG40" i="1"/>
  <c r="AH40" i="1" s="1"/>
  <c r="AG37" i="1"/>
  <c r="AG41" i="1"/>
  <c r="AI17" i="1"/>
  <c r="AG39" i="1"/>
  <c r="AG44" i="1"/>
  <c r="AG28" i="1"/>
  <c r="AG30" i="1"/>
  <c r="AG38" i="1"/>
  <c r="AG42" i="1"/>
  <c r="AG46" i="1"/>
  <c r="AG32" i="1"/>
  <c r="AG36" i="1"/>
  <c r="AN35" i="1" l="1"/>
  <c r="AN27" i="1"/>
  <c r="AI139" i="1"/>
  <c r="AI141" i="1" s="1"/>
  <c r="AI143" i="1" s="1"/>
  <c r="AI145" i="1" s="1"/>
  <c r="E128" i="1" s="1"/>
  <c r="B44" i="3" s="1"/>
  <c r="AN31" i="1"/>
  <c r="AN47" i="1"/>
  <c r="AN43" i="1"/>
  <c r="B39" i="3"/>
  <c r="E30" i="3"/>
  <c r="AN33" i="1"/>
  <c r="AF135" i="1"/>
  <c r="AF137" i="1" s="1"/>
  <c r="AN34" i="1"/>
  <c r="AH43" i="1"/>
  <c r="AH31" i="1"/>
  <c r="AI29" i="1"/>
  <c r="AN29" i="1" s="1"/>
  <c r="AI40" i="1"/>
  <c r="AN40" i="1" s="1"/>
  <c r="AH33" i="1"/>
  <c r="AH34" i="1"/>
  <c r="I85" i="1"/>
  <c r="AH27" i="1"/>
  <c r="AI45" i="1"/>
  <c r="AN45" i="1" s="1"/>
  <c r="AH47" i="1"/>
  <c r="AH35" i="1"/>
  <c r="AI46" i="1"/>
  <c r="AN46" i="1" s="1"/>
  <c r="AH46" i="1"/>
  <c r="AI42" i="1"/>
  <c r="AN42" i="1" s="1"/>
  <c r="AH42" i="1"/>
  <c r="AI28" i="1"/>
  <c r="AN28" i="1" s="1"/>
  <c r="AH28" i="1"/>
  <c r="AH44" i="1"/>
  <c r="AI44" i="1"/>
  <c r="AN44" i="1" s="1"/>
  <c r="AI38" i="1"/>
  <c r="AN38" i="1" s="1"/>
  <c r="AH38" i="1"/>
  <c r="AH41" i="1"/>
  <c r="AI41" i="1"/>
  <c r="AN41" i="1" s="1"/>
  <c r="AI30" i="1"/>
  <c r="AN30" i="1" s="1"/>
  <c r="AH30" i="1"/>
  <c r="AI37" i="1"/>
  <c r="AN37" i="1" s="1"/>
  <c r="AH37" i="1"/>
  <c r="C201" i="1"/>
  <c r="D209" i="1" s="1"/>
  <c r="AI36" i="1"/>
  <c r="AN36" i="1" s="1"/>
  <c r="AH36" i="1"/>
  <c r="AH39" i="1"/>
  <c r="AI39" i="1"/>
  <c r="AN39" i="1" s="1"/>
  <c r="AH32" i="1"/>
  <c r="AI32" i="1"/>
  <c r="AN32" i="1" s="1"/>
  <c r="D211" i="1" l="1"/>
  <c r="D212" i="1"/>
  <c r="E35" i="3"/>
  <c r="D206" i="1"/>
  <c r="D207" i="1"/>
  <c r="D208" i="1"/>
  <c r="D210" i="1"/>
  <c r="D205" i="1"/>
  <c r="AN49" i="1"/>
  <c r="AN50" i="1"/>
  <c r="AG49" i="1"/>
  <c r="AI49" i="1"/>
  <c r="I207" i="1" l="1"/>
  <c r="E41" i="3" s="1"/>
  <c r="AN51" i="1"/>
  <c r="G74" i="1" s="1"/>
  <c r="I75" i="1" s="1"/>
  <c r="AI18" i="1"/>
  <c r="AG18" i="1" s="1"/>
  <c r="B5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slayous</author>
  </authors>
  <commentList>
    <comment ref="C49" authorId="0" shapeId="0" xr:uid="{00000000-0006-0000-0000-000001000000}">
      <text/>
    </comment>
    <comment ref="C56" authorId="0" shapeId="0" xr:uid="{00000000-0006-0000-0000-000002000000}">
      <text/>
    </comment>
    <comment ref="C62" authorId="0" shapeId="0" xr:uid="{00000000-0006-0000-0000-000003000000}">
      <text/>
    </comment>
    <comment ref="C65" authorId="0" shapeId="0" xr:uid="{00000000-0006-0000-0000-000004000000}">
      <text/>
    </comment>
    <comment ref="C85" authorId="0" shapeId="0" xr:uid="{00000000-0006-0000-0000-000005000000}">
      <text/>
    </comment>
  </commentList>
</comments>
</file>

<file path=xl/sharedStrings.xml><?xml version="1.0" encoding="utf-8"?>
<sst xmlns="http://schemas.openxmlformats.org/spreadsheetml/2006/main" count="743" uniqueCount="481">
  <si>
    <t>inches</t>
  </si>
  <si>
    <t>pounds</t>
  </si>
  <si>
    <t xml:space="preserve"> -</t>
  </si>
  <si>
    <t>inch length</t>
  </si>
  <si>
    <t>-</t>
  </si>
  <si>
    <t>8- pivot arm</t>
  </si>
  <si>
    <t>Xcg</t>
  </si>
  <si>
    <t>Ycg</t>
  </si>
  <si>
    <t>Opening</t>
  </si>
  <si>
    <t xml:space="preserve">Closing </t>
  </si>
  <si>
    <t>m</t>
  </si>
  <si>
    <t>Angle (deg)</t>
  </si>
  <si>
    <t>Moment (ft-lb)</t>
  </si>
  <si>
    <t>Difference</t>
  </si>
  <si>
    <t>ft</t>
  </si>
  <si>
    <t>kg</t>
  </si>
  <si>
    <t>N-m</t>
  </si>
  <si>
    <t>N</t>
  </si>
  <si>
    <t>Inputs</t>
  </si>
  <si>
    <t>Mass of gate w/o cw =</t>
  </si>
  <si>
    <t>lb</t>
  </si>
  <si>
    <t>ft-lb</t>
  </si>
  <si>
    <t>Max. angle of opening</t>
  </si>
  <si>
    <t>Lever arm length  (p)</t>
  </si>
  <si>
    <t>Counterweight height (y)</t>
  </si>
  <si>
    <t>Estimated Max. Flow Rate</t>
  </si>
  <si>
    <t>1.</t>
  </si>
  <si>
    <t>2.</t>
  </si>
  <si>
    <t>3.</t>
  </si>
  <si>
    <t>4.</t>
  </si>
  <si>
    <t>5.</t>
  </si>
  <si>
    <t xml:space="preserve">   Final Design Dimensions</t>
  </si>
  <si>
    <t>4- Lower Horiz. face support</t>
  </si>
  <si>
    <t>3- Intermediate Horiz. face support</t>
  </si>
  <si>
    <t>Distance above pivot to cg</t>
  </si>
  <si>
    <t>Static closing moment</t>
  </si>
  <si>
    <t>Mass of closing moment</t>
  </si>
  <si>
    <t>ft-lbs.</t>
  </si>
  <si>
    <t>degrees  **Put the stop before this**</t>
  </si>
  <si>
    <t>Pivot height above bottom of static frame</t>
  </si>
  <si>
    <t>Should be 0.5 or less</t>
  </si>
  <si>
    <t>max chng, cm =</t>
  </si>
  <si>
    <t>min chng, cm =</t>
  </si>
  <si>
    <t>Estimate of maximum flow rate using weir equation:</t>
  </si>
  <si>
    <t>Estimate of angle of opening at this maximum flow rate</t>
  </si>
  <si>
    <t>R =</t>
  </si>
  <si>
    <t>Then, use the orifice equation with the known Q, above, to solve</t>
  </si>
  <si>
    <t>for the proper angle of opening.  Assume that the head equals</t>
  </si>
  <si>
    <t>the upstream water level, minus the bottom frame height.</t>
  </si>
  <si>
    <t>H =</t>
  </si>
  <si>
    <t xml:space="preserve"> ft</t>
  </si>
  <si>
    <t>Use an orifice equation that assumes convergence on only one</t>
  </si>
  <si>
    <t>side.    For this type of free flow, the proper coefficient is about</t>
  </si>
  <si>
    <t>0.51, for the standard equation Q = 8.02*C*A*H^.5</t>
  </si>
  <si>
    <t>C =</t>
  </si>
  <si>
    <t>Width =</t>
  </si>
  <si>
    <t xml:space="preserve">  ft</t>
  </si>
  <si>
    <t>Therefore, the required "z" or opening gap at the bottom of the orifice is:</t>
  </si>
  <si>
    <t>z =</t>
  </si>
  <si>
    <t>z =Q/(8.02*c*w*H^.5)</t>
  </si>
  <si>
    <t>Now, use the formula for the segment of a circle (z) to solve for the angle</t>
  </si>
  <si>
    <t>Angle =</t>
  </si>
  <si>
    <t>radian</t>
  </si>
  <si>
    <t>degrees</t>
  </si>
  <si>
    <t>Now, check to see if this angle is greater than the "Max. angle of opening"</t>
  </si>
  <si>
    <t>If it is, then the Max angle of opening will determine the flow rate</t>
  </si>
  <si>
    <t>The max angle of opening, based on the center of gravity, is:</t>
  </si>
  <si>
    <t>The minimum of the two is:</t>
  </si>
  <si>
    <t>Therefore, the "Z" based on this minimum of the 2 is:</t>
  </si>
  <si>
    <t>Therefore, the max. Q, based on the smallest angle, is:</t>
  </si>
  <si>
    <t>Qmax =</t>
  </si>
  <si>
    <t>CFS</t>
  </si>
  <si>
    <t xml:space="preserve">   deg</t>
  </si>
  <si>
    <t>Max total change, cm :</t>
  </si>
  <si>
    <t>6.</t>
  </si>
  <si>
    <t>h</t>
  </si>
  <si>
    <t>a</t>
  </si>
  <si>
    <t>p</t>
  </si>
  <si>
    <t>7.</t>
  </si>
  <si>
    <t>8.</t>
  </si>
  <si>
    <t>Calculated</t>
  </si>
  <si>
    <t>9.</t>
  </si>
  <si>
    <t>Size</t>
  </si>
  <si>
    <t>Weight</t>
  </si>
  <si>
    <t>(in)</t>
  </si>
  <si>
    <t>(lb/ft)</t>
  </si>
  <si>
    <t>2 x 4</t>
  </si>
  <si>
    <t>3 x 4</t>
  </si>
  <si>
    <t>2 x 2</t>
  </si>
  <si>
    <t>3 x 3</t>
  </si>
  <si>
    <t>Material</t>
  </si>
  <si>
    <t>Density (lb/ft³)</t>
  </si>
  <si>
    <t>Lead, Cast</t>
  </si>
  <si>
    <t>Lead, Rolled</t>
  </si>
  <si>
    <t>Sand, Quartz</t>
  </si>
  <si>
    <t>Sand, Dry</t>
  </si>
  <si>
    <t>Sand, Garnet</t>
  </si>
  <si>
    <t>Steel, Cast</t>
  </si>
  <si>
    <t>Steel, Rolled</t>
  </si>
  <si>
    <t>Steel Tubing Weight Table</t>
  </si>
  <si>
    <t>Design Checks</t>
  </si>
  <si>
    <t>Opening moment:</t>
  </si>
  <si>
    <t>Closing moment:</t>
  </si>
  <si>
    <t>Wall Thickness</t>
  </si>
  <si>
    <t>First, determine the value of R, which is the hypotenuse of</t>
  </si>
  <si>
    <t>Section</t>
  </si>
  <si>
    <t>Length, in</t>
  </si>
  <si>
    <t># of pieces</t>
  </si>
  <si>
    <t>Weight, lbs</t>
  </si>
  <si>
    <t>x, in</t>
  </si>
  <si>
    <t>y, in (-means below the pivot)</t>
  </si>
  <si>
    <t>M*x</t>
  </si>
  <si>
    <t>M*y</t>
  </si>
  <si>
    <t>Cu. Ft</t>
  </si>
  <si>
    <t>Cal Poly ITRC Flap Gate Program with Concrete Counterweight</t>
  </si>
  <si>
    <t>Compressed</t>
  </si>
  <si>
    <t>Extended</t>
  </si>
  <si>
    <t>Travel</t>
  </si>
  <si>
    <t>SC-2911</t>
  </si>
  <si>
    <t>SC-2913</t>
  </si>
  <si>
    <t>SC-2915</t>
  </si>
  <si>
    <t>SC-2916</t>
  </si>
  <si>
    <t>SC-2917</t>
  </si>
  <si>
    <t>SC-2946</t>
  </si>
  <si>
    <t>SC-2957</t>
  </si>
  <si>
    <t>OK</t>
  </si>
  <si>
    <t>Extended length (in)</t>
  </si>
  <si>
    <t xml:space="preserve"> </t>
  </si>
  <si>
    <t>Compressed length (in)</t>
  </si>
  <si>
    <t>Length (in.) Center to Center</t>
  </si>
  <si>
    <t>Use 5/8" bolts through the end "eyes".</t>
  </si>
  <si>
    <t>Select Monroe Part #</t>
  </si>
  <si>
    <t>Cylinder Options</t>
  </si>
  <si>
    <t>Monroe Part No.</t>
  </si>
  <si>
    <t>Calculated from previous page inputs</t>
  </si>
  <si>
    <t>These steering stabilizers can be purchased at any NAPA auto parts or SEARS stores</t>
  </si>
  <si>
    <t>6- Vert. face support from bottom of faceplate, up to cw</t>
  </si>
  <si>
    <t>Pivot shaft</t>
  </si>
  <si>
    <t>Required travel (in)</t>
  </si>
  <si>
    <t>Check the strength of the structure to be certain that it can handle the moments and forces.</t>
  </si>
  <si>
    <t>Adjust dimensions until the opening and closing moments below are equal</t>
  </si>
  <si>
    <t>All steering stabilizers above have an "eye" or "loop" fitting on both ends through which a bolt is inserted.</t>
  </si>
  <si>
    <t>This program also assumes that a reinforcement support brace will be installed if the pivot lever arm "p" exceeds 8 inches</t>
  </si>
  <si>
    <t xml:space="preserve">  Key Points and Disclaimer:</t>
  </si>
  <si>
    <t>s</t>
  </si>
  <si>
    <t>w</t>
  </si>
  <si>
    <t xml:space="preserve">    This program is produced as an educational aid.  Any use of the information provided by this program is made by the user at his / her own risk.</t>
  </si>
  <si>
    <t>No warranty or guarantee is stated or implied by ITRC or Cal Poly.  Users assume full responsibility for any usage of this material.</t>
  </si>
  <si>
    <t>c</t>
  </si>
  <si>
    <t>b</t>
  </si>
  <si>
    <t>d</t>
  </si>
  <si>
    <t>Bar Designation #</t>
  </si>
  <si>
    <t>lb/foot</t>
  </si>
  <si>
    <t>Rebar Weight Table</t>
  </si>
  <si>
    <t>5- Intermediate Vert. face support</t>
  </si>
  <si>
    <t>4 x 4</t>
  </si>
  <si>
    <t>cubic feet / second</t>
  </si>
  <si>
    <t>Should be 0.25 or less</t>
  </si>
  <si>
    <t>for any claim by any other party.</t>
  </si>
  <si>
    <t>inability to use this program, even if the developers have been advised of the possibility of such damages, or</t>
  </si>
  <si>
    <t>t</t>
  </si>
  <si>
    <t>v</t>
  </si>
  <si>
    <t>lbs / cubic foot</t>
  </si>
  <si>
    <t>Try to obtain a value between 5 and 15%</t>
  </si>
  <si>
    <t>Total width of static frame</t>
  </si>
  <si>
    <t>inches  **Constructed width of flashboard static frame**</t>
  </si>
  <si>
    <t>Orange cells indicate important results</t>
  </si>
  <si>
    <t>Grey cells indicate design checks</t>
  </si>
  <si>
    <t>Red fonts indicate user input values.</t>
  </si>
  <si>
    <t>z</t>
  </si>
  <si>
    <t>l</t>
  </si>
  <si>
    <t>y</t>
  </si>
  <si>
    <t>Should be between 48 and 53 deg.</t>
  </si>
  <si>
    <t>deg</t>
  </si>
  <si>
    <t>a / h</t>
  </si>
  <si>
    <t>p / (h+a)</t>
  </si>
  <si>
    <t>Width of faceplate =</t>
  </si>
  <si>
    <t>1- faceplate</t>
  </si>
  <si>
    <t>2- Top Horiz. faceplate support</t>
  </si>
  <si>
    <t>7- Horiz. pivot support (if faceplate&gt;8" from pivot point)</t>
  </si>
  <si>
    <t>Steel faceplate dimensions</t>
  </si>
  <si>
    <t>This program assumes double (extra) vertical side tubing and pivot lever arms if the counterweight is 2000 lbs or more</t>
  </si>
  <si>
    <t>Counterweight Materials</t>
  </si>
  <si>
    <t>4 x 6</t>
  </si>
  <si>
    <t>e</t>
  </si>
  <si>
    <t>f</t>
  </si>
  <si>
    <t>g</t>
  </si>
  <si>
    <t>i</t>
  </si>
  <si>
    <t>j</t>
  </si>
  <si>
    <t>k</t>
  </si>
  <si>
    <t>n</t>
  </si>
  <si>
    <t>o</t>
  </si>
  <si>
    <t>q</t>
  </si>
  <si>
    <t>r</t>
  </si>
  <si>
    <t>u</t>
  </si>
  <si>
    <t>x</t>
  </si>
  <si>
    <t>aa</t>
  </si>
  <si>
    <t>ab</t>
  </si>
  <si>
    <t>ac</t>
  </si>
  <si>
    <t>ad</t>
  </si>
  <si>
    <t>ae</t>
  </si>
  <si>
    <t>af</t>
  </si>
  <si>
    <t>ag</t>
  </si>
  <si>
    <t>ah</t>
  </si>
  <si>
    <t>ai</t>
  </si>
  <si>
    <t>aj</t>
  </si>
  <si>
    <t>Design Tables</t>
  </si>
  <si>
    <t>Dynamic Tubing Cut List</t>
  </si>
  <si>
    <t>Static Frame Cut List</t>
  </si>
  <si>
    <t xml:space="preserve">Estimation of Steering Stabilizer </t>
  </si>
  <si>
    <t>units</t>
  </si>
  <si>
    <t>inches high by</t>
  </si>
  <si>
    <t>inches by</t>
  </si>
  <si>
    <t>pieces by</t>
  </si>
  <si>
    <r>
      <t>Red</t>
    </r>
    <r>
      <rPr>
        <sz val="8"/>
        <rFont val="Arial"/>
        <family val="2"/>
      </rPr>
      <t xml:space="preserve"> denotes that these parts are only needed if certain conditions are met.  A zero appears if it is not needed.</t>
    </r>
  </si>
  <si>
    <t>inch dia. by</t>
  </si>
  <si>
    <t>Mortar, Quikrete</t>
  </si>
  <si>
    <t>Concrete, Quikrete</t>
  </si>
  <si>
    <t>487-493 (490)</t>
  </si>
  <si>
    <t>inch thickness</t>
  </si>
  <si>
    <t>125 - 135 (130)</t>
  </si>
  <si>
    <t>143 - 150 (145)</t>
  </si>
  <si>
    <t>140 - 160 (150)</t>
  </si>
  <si>
    <t>120 - 150 (150)</t>
  </si>
  <si>
    <t>80 - 100</t>
  </si>
  <si>
    <r>
      <rPr>
        <b/>
        <sz val="9"/>
        <color indexed="12"/>
        <rFont val="Arial"/>
        <family val="2"/>
      </rPr>
      <t>Blue</t>
    </r>
    <r>
      <rPr>
        <sz val="9"/>
        <color indexed="12"/>
        <rFont val="Arial"/>
        <family val="2"/>
      </rPr>
      <t xml:space="preserve"> </t>
    </r>
    <r>
      <rPr>
        <sz val="9"/>
        <rFont val="Arial"/>
        <family val="2"/>
      </rPr>
      <t>denotes typical design values</t>
    </r>
  </si>
  <si>
    <t>faceplate thickness</t>
  </si>
  <si>
    <t>alpha</t>
  </si>
  <si>
    <t>beta</t>
  </si>
  <si>
    <t>L2</t>
  </si>
  <si>
    <t>L1</t>
  </si>
  <si>
    <t>Moment (N-m)</t>
  </si>
  <si>
    <t xml:space="preserve"> (N-m)</t>
  </si>
  <si>
    <t>Closing</t>
  </si>
  <si>
    <t>min</t>
  </si>
  <si>
    <t>max</t>
  </si>
  <si>
    <t>Max. difference in opening and closing moments</t>
  </si>
  <si>
    <t>= Force when closed, N, with change in water level, below</t>
  </si>
  <si>
    <t>=Change in water level for new computation, m</t>
  </si>
  <si>
    <t>moment with wsl change</t>
  </si>
  <si>
    <t>Rate of Moment</t>
  </si>
  <si>
    <t>change (N-m)/cm</t>
  </si>
  <si>
    <t>Est. water depth</t>
  </si>
  <si>
    <t>change cm</t>
  </si>
  <si>
    <r>
      <t>Opening Moment when static (</t>
    </r>
    <r>
      <rPr>
        <sz val="9"/>
        <rFont val="Calibri"/>
        <family val="2"/>
      </rPr>
      <t xml:space="preserve">γ </t>
    </r>
    <r>
      <rPr>
        <sz val="9"/>
        <rFont val="Arial"/>
        <family val="2"/>
      </rPr>
      <t>h</t>
    </r>
    <r>
      <rPr>
        <vertAlign val="subscript"/>
        <sz val="9"/>
        <rFont val="Arial"/>
        <family val="2"/>
      </rPr>
      <t xml:space="preserve">s </t>
    </r>
    <r>
      <rPr>
        <sz val="9"/>
        <rFont val="Arial"/>
        <family val="2"/>
      </rPr>
      <t>A / 2) x (L</t>
    </r>
    <r>
      <rPr>
        <vertAlign val="subscript"/>
        <sz val="9"/>
        <rFont val="Arial"/>
        <family val="2"/>
      </rPr>
      <t xml:space="preserve">p </t>
    </r>
    <r>
      <rPr>
        <sz val="9"/>
        <rFont val="Arial"/>
        <family val="2"/>
      </rPr>
      <t>- h</t>
    </r>
    <r>
      <rPr>
        <vertAlign val="subscript"/>
        <sz val="9"/>
        <rFont val="Arial"/>
        <family val="2"/>
      </rPr>
      <t>s</t>
    </r>
    <r>
      <rPr>
        <sz val="9"/>
        <rFont val="Arial"/>
        <family val="2"/>
      </rPr>
      <t xml:space="preserve"> / 3)</t>
    </r>
  </si>
  <si>
    <r>
      <t>hyd. force on the gate when closed (γ h</t>
    </r>
    <r>
      <rPr>
        <vertAlign val="subscript"/>
        <sz val="9"/>
        <rFont val="Arial"/>
        <family val="2"/>
      </rPr>
      <t>s</t>
    </r>
    <r>
      <rPr>
        <sz val="9"/>
        <rFont val="Arial"/>
        <family val="2"/>
      </rPr>
      <t xml:space="preserve"> A / 2)</t>
    </r>
  </si>
  <si>
    <t>horizontal cg level from Pivot (P')</t>
  </si>
  <si>
    <r>
      <t>vertical static cg level from Pivot (H</t>
    </r>
    <r>
      <rPr>
        <vertAlign val="subscript"/>
        <sz val="9"/>
        <rFont val="Geneva"/>
      </rPr>
      <t>cg</t>
    </r>
    <r>
      <rPr>
        <sz val="9"/>
        <rFont val="Geneva"/>
      </rPr>
      <t>)</t>
    </r>
  </si>
  <si>
    <r>
      <t>Static water level height above bottom of the plate (h</t>
    </r>
    <r>
      <rPr>
        <vertAlign val="subscript"/>
        <sz val="10"/>
        <rFont val="Geneva"/>
      </rPr>
      <t>s</t>
    </r>
    <r>
      <rPr>
        <sz val="10"/>
        <rFont val="Geneva"/>
      </rPr>
      <t>) =</t>
    </r>
  </si>
  <si>
    <r>
      <t>height of the pin above the bottom of the plate (L</t>
    </r>
    <r>
      <rPr>
        <vertAlign val="subscript"/>
        <sz val="9"/>
        <rFont val="Arial"/>
        <family val="2"/>
      </rPr>
      <t>p</t>
    </r>
    <r>
      <rPr>
        <sz val="9"/>
        <rFont val="Arial"/>
        <family val="2"/>
      </rPr>
      <t>) =</t>
    </r>
  </si>
  <si>
    <r>
      <t>Vert distance from static water centroid to pin  (L</t>
    </r>
    <r>
      <rPr>
        <vertAlign val="subscript"/>
        <sz val="9"/>
        <rFont val="Arial"/>
        <family val="2"/>
      </rPr>
      <t>p</t>
    </r>
    <r>
      <rPr>
        <sz val="9"/>
        <rFont val="Arial"/>
        <family val="2"/>
      </rPr>
      <t xml:space="preserve"> - h</t>
    </r>
    <r>
      <rPr>
        <vertAlign val="subscript"/>
        <sz val="9"/>
        <rFont val="Arial"/>
        <family val="2"/>
      </rPr>
      <t>s</t>
    </r>
    <r>
      <rPr>
        <sz val="9"/>
        <rFont val="Arial"/>
        <family val="2"/>
      </rPr>
      <t xml:space="preserve"> / 3)</t>
    </r>
  </si>
  <si>
    <t xml:space="preserve">the level arm "p" and the vertical height of the point on the faceplate that touches the </t>
  </si>
  <si>
    <t>top of the bottom frame and the pivot point</t>
  </si>
  <si>
    <t>ak</t>
  </si>
  <si>
    <t>Concrete, Truck</t>
  </si>
  <si>
    <t>No-Flow Condition ( theta = 0)</t>
  </si>
  <si>
    <t>All Other Conditions (theta &gt; 0)</t>
  </si>
  <si>
    <t>Positive change in opening</t>
  </si>
  <si>
    <t>Negative change in opening</t>
  </si>
  <si>
    <t>Rebar estimate</t>
  </si>
  <si>
    <t>Total length for dynamic tubing</t>
  </si>
  <si>
    <t>Total length for static tubing</t>
  </si>
  <si>
    <t>Override the number of sticks of rebar:</t>
  </si>
  <si>
    <t>Maximum sticks of rebar assuming square packing:</t>
  </si>
  <si>
    <r>
      <t>ft total</t>
    </r>
    <r>
      <rPr>
        <vertAlign val="superscript"/>
        <sz val="9"/>
        <color indexed="32"/>
        <rFont val="Arial"/>
        <family val="2"/>
      </rPr>
      <t>+</t>
    </r>
  </si>
  <si>
    <r>
      <rPr>
        <vertAlign val="superscript"/>
        <sz val="9"/>
        <color indexed="32"/>
        <rFont val="Arial"/>
        <family val="2"/>
      </rPr>
      <t>+</t>
    </r>
    <r>
      <rPr>
        <sz val="9"/>
        <color indexed="32"/>
        <rFont val="Arial"/>
        <family val="2"/>
      </rPr>
      <t>10% extra added</t>
    </r>
  </si>
  <si>
    <t>al</t>
  </si>
  <si>
    <t>am</t>
  </si>
  <si>
    <t>an</t>
  </si>
  <si>
    <t>ao</t>
  </si>
  <si>
    <t>ap</t>
  </si>
  <si>
    <t>Quikrete Concrete</t>
  </si>
  <si>
    <t>aq</t>
  </si>
  <si>
    <t>Horizontal faceplate supports</t>
  </si>
  <si>
    <t>Vertical counterweight supports</t>
  </si>
  <si>
    <t>Lever arms</t>
  </si>
  <si>
    <t>Horizontal faceplate mid-support</t>
  </si>
  <si>
    <t>Vertical faceplate mid-support</t>
  </si>
  <si>
    <t>Lever arm support brace</t>
  </si>
  <si>
    <t>Vertical supports</t>
  </si>
  <si>
    <t>Horizontal supports</t>
  </si>
  <si>
    <t>Lever arm supports</t>
  </si>
  <si>
    <t>CW horizontal support</t>
  </si>
  <si>
    <t>CW fill material</t>
  </si>
  <si>
    <t>Counterweight cylinder</t>
  </si>
  <si>
    <t>CW side plates</t>
  </si>
  <si>
    <t>Extra vertical counterweight supports</t>
  </si>
  <si>
    <t>ar</t>
  </si>
  <si>
    <t>ALL VARIABLES</t>
  </si>
  <si>
    <t>SOLIDWORKS VARIABLES</t>
  </si>
  <si>
    <t>Design Variable
(see sketches)</t>
  </si>
  <si>
    <t>Counterweight Cut List</t>
  </si>
  <si>
    <t>Calculated Variable
(not in sketches)</t>
  </si>
  <si>
    <t>Shaft Sizing:</t>
  </si>
  <si>
    <t>mm</t>
  </si>
  <si>
    <t>E =</t>
  </si>
  <si>
    <t>lbf/in^2</t>
  </si>
  <si>
    <t>L =</t>
  </si>
  <si>
    <t>a =</t>
  </si>
  <si>
    <t>d =</t>
  </si>
  <si>
    <t>d = [(P*64)/(24*E*PI()*ymax)*(3*L^2*a-4*a^3)]^(1/4)</t>
  </si>
  <si>
    <t>P =</t>
  </si>
  <si>
    <t>lbf</t>
  </si>
  <si>
    <r>
      <t>I</t>
    </r>
    <r>
      <rPr>
        <vertAlign val="subscript"/>
        <sz val="9"/>
        <rFont val="Arial"/>
        <family val="2"/>
      </rPr>
      <t>1</t>
    </r>
    <r>
      <rPr>
        <sz val="9"/>
        <rFont val="Arial"/>
        <family val="2"/>
      </rPr>
      <t>=PI()*r^4/4) = PI()*d^4/64</t>
    </r>
  </si>
  <si>
    <t>w =</t>
  </si>
  <si>
    <t>b =</t>
  </si>
  <si>
    <r>
      <t>I</t>
    </r>
    <r>
      <rPr>
        <vertAlign val="subscript"/>
        <sz val="9"/>
        <rFont val="Arial"/>
        <family val="2"/>
      </rPr>
      <t>1</t>
    </r>
    <r>
      <rPr>
        <sz val="9"/>
        <rFont val="Arial"/>
        <family val="2"/>
      </rPr>
      <t xml:space="preserve"> =</t>
    </r>
  </si>
  <si>
    <r>
      <t>I</t>
    </r>
    <r>
      <rPr>
        <vertAlign val="subscript"/>
        <sz val="9"/>
        <rFont val="Arial"/>
        <family val="2"/>
      </rPr>
      <t>2</t>
    </r>
    <r>
      <rPr>
        <sz val="9"/>
        <rFont val="Arial"/>
        <family val="2"/>
      </rPr>
      <t xml:space="preserve"> =</t>
    </r>
  </si>
  <si>
    <r>
      <t>I</t>
    </r>
    <r>
      <rPr>
        <vertAlign val="subscript"/>
        <sz val="6"/>
        <rFont val="Arial"/>
        <family val="2"/>
      </rPr>
      <t>2</t>
    </r>
    <r>
      <rPr>
        <sz val="6"/>
        <rFont val="Arial"/>
        <family val="2"/>
      </rPr>
      <t xml:space="preserve"> = [(P)*(L^2*a-4*a^3-4*a*b^2-8*a^2*b)]/[(8*E)(y-(P/(6*E*I</t>
    </r>
    <r>
      <rPr>
        <vertAlign val="subscript"/>
        <sz val="6"/>
        <rFont val="Arial"/>
        <family val="2"/>
      </rPr>
      <t>1</t>
    </r>
    <r>
      <rPr>
        <sz val="6"/>
        <rFont val="Arial"/>
        <family val="2"/>
      </rPr>
      <t>)*(2*a^3+6*a^2*b+3*a*b^2)))]</t>
    </r>
  </si>
  <si>
    <r>
      <t>h = 1/4*[(-3*d^4*PI()+8*d^3*w+192*I</t>
    </r>
    <r>
      <rPr>
        <vertAlign val="subscript"/>
        <sz val="9"/>
        <rFont val="Arial"/>
        <family val="2"/>
      </rPr>
      <t>2</t>
    </r>
    <r>
      <rPr>
        <sz val="9"/>
        <rFont val="Arial"/>
        <family val="2"/>
      </rPr>
      <t>)/w)]^(1/3)-(d/2)</t>
    </r>
  </si>
  <si>
    <t>in^4</t>
  </si>
  <si>
    <r>
      <t>h</t>
    </r>
    <r>
      <rPr>
        <vertAlign val="subscript"/>
        <sz val="9"/>
        <rFont val="Arial"/>
        <family val="2"/>
      </rPr>
      <t>min</t>
    </r>
    <r>
      <rPr>
        <sz val="9"/>
        <rFont val="Arial"/>
        <family val="2"/>
      </rPr>
      <t xml:space="preserve"> =</t>
    </r>
  </si>
  <si>
    <r>
      <t>y</t>
    </r>
    <r>
      <rPr>
        <vertAlign val="subscript"/>
        <sz val="9"/>
        <rFont val="Arial"/>
        <family val="2"/>
      </rPr>
      <t>max</t>
    </r>
    <r>
      <rPr>
        <sz val="9"/>
        <rFont val="Arial"/>
        <family val="2"/>
      </rPr>
      <t xml:space="preserve"> =</t>
    </r>
  </si>
  <si>
    <t>Yes</t>
  </si>
  <si>
    <t>No</t>
  </si>
  <si>
    <t>Select the strip height:</t>
  </si>
  <si>
    <t>Fixed</t>
  </si>
  <si>
    <t>Rotating</t>
  </si>
  <si>
    <t>Alternate Shaft Sizing - fixed shaft (adds a rod):</t>
  </si>
  <si>
    <t>Alternate Shaft Sizing - rotating shaft (adds two rods):</t>
  </si>
  <si>
    <t>Theta =</t>
  </si>
  <si>
    <t>radians</t>
  </si>
  <si>
    <t>as</t>
  </si>
  <si>
    <t>at</t>
  </si>
  <si>
    <t>au</t>
  </si>
  <si>
    <t>av</t>
  </si>
  <si>
    <t>aw</t>
  </si>
  <si>
    <t>minimum "b" calc:</t>
  </si>
  <si>
    <t>shaft size</t>
  </si>
  <si>
    <t>bearing width (inches)</t>
  </si>
  <si>
    <t>ax</t>
  </si>
  <si>
    <t>ay</t>
  </si>
  <si>
    <t>az</t>
  </si>
  <si>
    <t>ba</t>
  </si>
  <si>
    <t>bb</t>
  </si>
  <si>
    <t>Weight of dynamic frame</t>
  </si>
  <si>
    <t>Total weight (dynamic frame and counterweight)</t>
  </si>
  <si>
    <t>bc</t>
  </si>
  <si>
    <t>Weight of empty counterweight</t>
  </si>
  <si>
    <t>pounds (not filled, no rebar)</t>
  </si>
  <si>
    <t>dyn</t>
  </si>
  <si>
    <t>cw</t>
  </si>
  <si>
    <t>empty counterweight</t>
  </si>
  <si>
    <t>shaft diameter</t>
  </si>
  <si>
    <t>bearing width</t>
  </si>
  <si>
    <t>Shaft length</t>
  </si>
  <si>
    <t>inner width</t>
  </si>
  <si>
    <t>lever arm depth</t>
  </si>
  <si>
    <t>lever arm width</t>
  </si>
  <si>
    <t>shaft clearance</t>
  </si>
  <si>
    <t>Theta</t>
  </si>
  <si>
    <t>Hypoteneus</t>
  </si>
  <si>
    <t>Hyp - x - y</t>
  </si>
  <si>
    <t>Min clearance</t>
  </si>
  <si>
    <t>Calculation for shaft rod clearance:</t>
  </si>
  <si>
    <t>McMaster Carr Self-Aligning 52100 Steel Bearings with Cast Iron Housing</t>
  </si>
  <si>
    <t>inches (set in program)</t>
  </si>
  <si>
    <t>Safety</t>
  </si>
  <si>
    <t>Rec min clearance</t>
  </si>
  <si>
    <r>
      <t>ymax = (P/[24*E*I</t>
    </r>
    <r>
      <rPr>
        <vertAlign val="subscript"/>
        <sz val="9"/>
        <rFont val="Arial"/>
        <family val="2"/>
      </rPr>
      <t>1</t>
    </r>
    <r>
      <rPr>
        <sz val="9"/>
        <rFont val="Arial"/>
        <family val="2"/>
      </rPr>
      <t>])*(3*L^2*a-4*a^3)</t>
    </r>
  </si>
  <si>
    <t>lbs / foot</t>
  </si>
  <si>
    <t xml:space="preserve">Monroe Part No. </t>
  </si>
  <si>
    <r>
      <t xml:space="preserve">Install 100% of the concrete weight and </t>
    </r>
    <r>
      <rPr>
        <u/>
        <sz val="8"/>
        <rFont val="Arial"/>
        <family val="2"/>
      </rPr>
      <t>weigh</t>
    </r>
    <r>
      <rPr>
        <sz val="8"/>
        <rFont val="Arial"/>
        <family val="2"/>
      </rPr>
      <t xml:space="preserve"> the counterweight. Fine tune the counterweight using rebar to match the </t>
    </r>
  </si>
  <si>
    <t>design weight. Always check the density of counterweight material by weighing a known volume.</t>
  </si>
  <si>
    <t>Install steering stabilizers on the structure to dampen the wave action (See the steering stabilizer estimation tool below).</t>
  </si>
  <si>
    <t>The counterweight support should go through the center of the counterweight pipe/cylinder to support it.</t>
  </si>
  <si>
    <t xml:space="preserve">This program assumes a horizontal reinforcing tube at the top and bottom of the faceplate. It also assumes an extra, </t>
  </si>
  <si>
    <t xml:space="preserve">intermediate horizontal and/or an extra vertical reinforcing tube if the vertical distance from the pivot to the bottom of the </t>
  </si>
  <si>
    <t>faceplate and/or the width of the flow path exceeds 35" respectively.</t>
  </si>
  <si>
    <r>
      <t>horizontal distance "</t>
    </r>
    <r>
      <rPr>
        <b/>
        <sz val="8"/>
        <rFont val="Geneva"/>
      </rPr>
      <t>g</t>
    </r>
    <r>
      <rPr>
        <sz val="8"/>
        <rFont val="Geneva"/>
      </rPr>
      <t>" (in.) from center of vertical dynamic tubing to static frame support stabilizer connection</t>
    </r>
  </si>
  <si>
    <r>
      <t>vertical distance "</t>
    </r>
    <r>
      <rPr>
        <b/>
        <sz val="8"/>
        <rFont val="Geneva"/>
      </rPr>
      <t>k</t>
    </r>
    <r>
      <rPr>
        <sz val="8"/>
        <rFont val="Geneva"/>
      </rPr>
      <t>" (in.) from pivot point to vertical dynamic frame support stabilizer connection</t>
    </r>
  </si>
  <si>
    <t>Value is lower than expected</t>
  </si>
  <si>
    <t>Value is higher than expected</t>
  </si>
  <si>
    <t>dynamic frame</t>
  </si>
  <si>
    <t>10- rebar</t>
  </si>
  <si>
    <t>9- counterweight (cw) support</t>
  </si>
  <si>
    <t>full counterweight</t>
  </si>
  <si>
    <t>11- extra vertical cw braces (&gt;1 ton) the whole length</t>
  </si>
  <si>
    <t>13 - cw material</t>
  </si>
  <si>
    <t>Weight of full counterweight</t>
  </si>
  <si>
    <r>
      <rPr>
        <b/>
        <sz val="4"/>
        <rFont val="Arial"/>
        <family val="2"/>
      </rPr>
      <t xml:space="preserve">
</t>
    </r>
    <r>
      <rPr>
        <b/>
        <sz val="11"/>
        <rFont val="Arial"/>
        <family val="2"/>
      </rPr>
      <t>Dynamic Gate Dimensions</t>
    </r>
  </si>
  <si>
    <t xml:space="preserve">
If there is no bottom frame, this is the water height above the bottom of the structure flow path.  In either case, the total change in water level across the structure is equal to the MAX value you should input here.</t>
  </si>
  <si>
    <t xml:space="preserve">
Two inches works well and is recommended.</t>
  </si>
  <si>
    <r>
      <rPr>
        <i/>
        <sz val="4"/>
        <rFont val="Arial"/>
        <family val="2"/>
      </rPr>
      <t xml:space="preserve">
</t>
    </r>
    <r>
      <rPr>
        <i/>
        <sz val="8"/>
        <rFont val="Arial"/>
        <family val="2"/>
      </rPr>
      <t>This needs to be 4 to 6 inches larger than Variable (b).</t>
    </r>
  </si>
  <si>
    <r>
      <t xml:space="preserve">
Distance (in.) from the u/s water surface to the pivot point.  This </t>
    </r>
    <r>
      <rPr>
        <i/>
        <sz val="7"/>
        <color rgb="FF0070C0"/>
        <rFont val="Arial"/>
        <family val="2"/>
      </rPr>
      <t>should be 4" or more, but typically doesn't need to be more than 8".</t>
    </r>
    <r>
      <rPr>
        <sz val="7"/>
        <color rgb="FF0070C0"/>
        <rFont val="Arial"/>
        <family val="2"/>
      </rPr>
      <t xml:space="preserve">  This is to keep the static frame support and bearings out of the water.  </t>
    </r>
  </si>
  <si>
    <t xml:space="preserve">
This is the width of the flow path plus the depth of each board slot.  If the walls are not plumb, be sure to use the smallest value.</t>
  </si>
  <si>
    <t xml:space="preserve">
Depth (in.) of each board slot. Two inches is the recommended minimum.</t>
  </si>
  <si>
    <t xml:space="preserve">
Total width (in.) of flashboard static frame.</t>
  </si>
  <si>
    <r>
      <rPr>
        <i/>
        <sz val="4"/>
        <rFont val="Arial"/>
        <family val="2"/>
      </rPr>
      <t xml:space="preserve">
</t>
    </r>
    <r>
      <rPr>
        <i/>
        <sz val="7"/>
        <rFont val="Arial"/>
        <family val="2"/>
      </rPr>
      <t>This should be a minimum of 4" in order to leave room for the 2-bolt flange bearings and provide leverage to minimize the counterweight.  Typical values range between 4 and 8 inches.</t>
    </r>
  </si>
  <si>
    <t xml:space="preserve">
Water depth (in.) above the top of bottom static support frame.</t>
  </si>
  <si>
    <t xml:space="preserve">
Width (in.) of flow path between vertical static frame supports.  This is used to estimate the maximum flow rate through the gate.</t>
  </si>
  <si>
    <t xml:space="preserve">
ITRC recommends 0.5" if the static tubing wall thickness is 0.35" or less; if the wall thickness is greater than 0.35" use 0.75".</t>
  </si>
  <si>
    <r>
      <rPr>
        <sz val="4"/>
        <color rgb="FF0070C0"/>
        <rFont val="Arial"/>
        <family val="2"/>
      </rPr>
      <t xml:space="preserve">
</t>
    </r>
    <r>
      <rPr>
        <sz val="7"/>
        <color rgb="FF0070C0"/>
        <rFont val="Arial"/>
        <family val="2"/>
      </rPr>
      <t>Width (in.) of faceplate including overlap.</t>
    </r>
  </si>
  <si>
    <r>
      <rPr>
        <sz val="4"/>
        <rFont val="Arial"/>
        <family val="2"/>
      </rPr>
      <t xml:space="preserve">
</t>
    </r>
    <r>
      <rPr>
        <sz val="8"/>
        <rFont val="Arial"/>
        <family val="2"/>
      </rPr>
      <t>Tubing depth</t>
    </r>
  </si>
  <si>
    <r>
      <rPr>
        <sz val="4"/>
        <rFont val="Arial"/>
        <family val="2"/>
      </rPr>
      <t xml:space="preserve">
</t>
    </r>
    <r>
      <rPr>
        <sz val="8"/>
        <rFont val="Arial"/>
        <family val="2"/>
      </rPr>
      <t>Tubing width</t>
    </r>
  </si>
  <si>
    <r>
      <rPr>
        <sz val="4"/>
        <rFont val="Arial"/>
        <family val="2"/>
      </rPr>
      <t xml:space="preserve">
</t>
    </r>
    <r>
      <rPr>
        <sz val="8"/>
        <rFont val="Arial"/>
        <family val="2"/>
      </rPr>
      <t>Tubing wall thickness</t>
    </r>
  </si>
  <si>
    <r>
      <rPr>
        <i/>
        <sz val="4"/>
        <rFont val="Arial"/>
        <family val="2"/>
      </rPr>
      <t xml:space="preserve">
</t>
    </r>
    <r>
      <rPr>
        <i/>
        <sz val="7"/>
        <rFont val="Arial"/>
        <family val="2"/>
      </rPr>
      <t>This is the vertical tubing that supports both the counterweight and the faceplate, plus the horizontal faceplate supports.</t>
    </r>
  </si>
  <si>
    <r>
      <rPr>
        <b/>
        <sz val="4"/>
        <rFont val="Arial"/>
        <family val="2"/>
      </rPr>
      <t xml:space="preserve">
</t>
    </r>
    <r>
      <rPr>
        <b/>
        <sz val="11"/>
        <rFont val="Arial"/>
        <family val="2"/>
      </rPr>
      <t>Static Frame Dimensions</t>
    </r>
  </si>
  <si>
    <t xml:space="preserve">
Tubing depth</t>
  </si>
  <si>
    <t xml:space="preserve">
Tubing width</t>
  </si>
  <si>
    <r>
      <rPr>
        <i/>
        <sz val="4"/>
        <rFont val="Arial"/>
        <family val="2"/>
      </rPr>
      <t xml:space="preserve">
</t>
    </r>
    <r>
      <rPr>
        <i/>
        <sz val="7"/>
        <rFont val="Arial"/>
        <family val="2"/>
      </rPr>
      <t xml:space="preserve">The tubing width will provide room for the water to flow past the flap and between the walls.  This value should be 6" minimum along each side and be an even number so that the steel tubing is readily available to construct the static frame.  </t>
    </r>
  </si>
  <si>
    <r>
      <rPr>
        <sz val="4"/>
        <color rgb="FF0070C0"/>
        <rFont val="Arial"/>
        <family val="2"/>
      </rPr>
      <t xml:space="preserve">
</t>
    </r>
    <r>
      <rPr>
        <sz val="7"/>
        <color rgb="FF0070C0"/>
        <rFont val="Arial"/>
        <family val="2"/>
      </rPr>
      <t>Clearance (in.) between the static frame and the board slots on both sides.</t>
    </r>
  </si>
  <si>
    <r>
      <rPr>
        <sz val="4"/>
        <color rgb="FF0070C0"/>
        <rFont val="Arial"/>
        <family val="2"/>
      </rPr>
      <t xml:space="preserve">
</t>
    </r>
    <r>
      <rPr>
        <sz val="7"/>
        <color rgb="FF0070C0"/>
        <rFont val="Arial"/>
        <family val="2"/>
      </rPr>
      <t>Distance (in.) the static frame will extend into the channel flow path on both sides.</t>
    </r>
  </si>
  <si>
    <r>
      <rPr>
        <i/>
        <sz val="4"/>
        <rFont val="Arial"/>
        <family val="2"/>
      </rPr>
      <t xml:space="preserve">
</t>
    </r>
    <r>
      <rPr>
        <i/>
        <sz val="7"/>
        <rFont val="Arial"/>
        <family val="2"/>
      </rPr>
      <t>Two inches along the bottom works well for the tubing width if the gate sits on flashboards. If the flap gate will sit on the floor of the structure, the tubing width should be increased.  The tubing depth should always match that of the vertical tubing.</t>
    </r>
  </si>
  <si>
    <r>
      <rPr>
        <b/>
        <sz val="4"/>
        <rFont val="Arial"/>
        <family val="2"/>
      </rPr>
      <t xml:space="preserve">
</t>
    </r>
    <r>
      <rPr>
        <b/>
        <sz val="11"/>
        <rFont val="Arial"/>
        <family val="2"/>
      </rPr>
      <t>Counterweight Dimensions</t>
    </r>
  </si>
  <si>
    <r>
      <rPr>
        <sz val="4"/>
        <rFont val="Arial"/>
        <family val="2"/>
      </rPr>
      <t xml:space="preserve">
</t>
    </r>
    <r>
      <rPr>
        <sz val="8"/>
        <rFont val="Arial"/>
        <family val="2"/>
      </rPr>
      <t>Counterweight material</t>
    </r>
  </si>
  <si>
    <r>
      <rPr>
        <sz val="4"/>
        <color theme="1"/>
        <rFont val="Arial"/>
        <family val="2"/>
      </rPr>
      <t xml:space="preserve">
</t>
    </r>
    <r>
      <rPr>
        <sz val="8"/>
        <color theme="1"/>
        <rFont val="Arial"/>
        <family val="2"/>
      </rPr>
      <t>CW support height</t>
    </r>
  </si>
  <si>
    <r>
      <rPr>
        <sz val="4"/>
        <color theme="1"/>
        <rFont val="Arial"/>
        <family val="2"/>
      </rPr>
      <t xml:space="preserve">
</t>
    </r>
    <r>
      <rPr>
        <sz val="8"/>
        <color theme="1"/>
        <rFont val="Arial"/>
        <family val="2"/>
      </rPr>
      <t>CW support width</t>
    </r>
  </si>
  <si>
    <r>
      <rPr>
        <sz val="4"/>
        <color theme="1"/>
        <rFont val="Arial"/>
        <family val="2"/>
      </rPr>
      <t xml:space="preserve">
</t>
    </r>
    <r>
      <rPr>
        <sz val="8"/>
        <color theme="1"/>
        <rFont val="Arial"/>
        <family val="2"/>
      </rPr>
      <t>CW support wall thickness</t>
    </r>
  </si>
  <si>
    <r>
      <rPr>
        <sz val="4"/>
        <color theme="1"/>
        <rFont val="Arial"/>
        <family val="2"/>
      </rPr>
      <t xml:space="preserve">
</t>
    </r>
    <r>
      <rPr>
        <sz val="8"/>
        <color theme="1"/>
        <rFont val="Arial"/>
        <family val="2"/>
      </rPr>
      <t>Weight of CW support material</t>
    </r>
  </si>
  <si>
    <r>
      <rPr>
        <sz val="4"/>
        <rFont val="Arial"/>
        <family val="2"/>
      </rPr>
      <t xml:space="preserve">
</t>
    </r>
    <r>
      <rPr>
        <sz val="8"/>
        <rFont val="Arial"/>
        <family val="2"/>
      </rPr>
      <t>Pipe diameter (actual OD, if possible)</t>
    </r>
  </si>
  <si>
    <r>
      <rPr>
        <sz val="4"/>
        <rFont val="Arial"/>
        <family val="2"/>
      </rPr>
      <t xml:space="preserve">
</t>
    </r>
    <r>
      <rPr>
        <sz val="8"/>
        <rFont val="Arial"/>
        <family val="2"/>
      </rPr>
      <t>Pipe wall thickness</t>
    </r>
  </si>
  <si>
    <r>
      <rPr>
        <sz val="4"/>
        <rFont val="Arial"/>
        <family val="2"/>
      </rPr>
      <t xml:space="preserve">
</t>
    </r>
    <r>
      <rPr>
        <sz val="8"/>
        <rFont val="Arial"/>
        <family val="2"/>
      </rPr>
      <t>CW pipe length</t>
    </r>
  </si>
  <si>
    <r>
      <rPr>
        <sz val="4"/>
        <color rgb="FF0070C0"/>
        <rFont val="Arial"/>
        <family val="2"/>
      </rPr>
      <t xml:space="preserve">
</t>
    </r>
    <r>
      <rPr>
        <sz val="7"/>
        <color rgb="FF0070C0"/>
        <rFont val="Arial"/>
        <family val="2"/>
      </rPr>
      <t>Counterweight end cap thickness (in.)</t>
    </r>
  </si>
  <si>
    <t xml:space="preserve">
</t>
  </si>
  <si>
    <r>
      <rPr>
        <i/>
        <sz val="4"/>
        <rFont val="Arial"/>
        <family val="2"/>
      </rPr>
      <t xml:space="preserve">
</t>
    </r>
    <r>
      <rPr>
        <i/>
        <sz val="7"/>
        <rFont val="Arial"/>
        <family val="2"/>
      </rPr>
      <t>Keep the orange value on the right less than 4 while keeping the ratios in Step 17 within range.</t>
    </r>
  </si>
  <si>
    <r>
      <rPr>
        <sz val="4"/>
        <rFont val="Arial"/>
        <family val="2"/>
      </rPr>
      <t xml:space="preserve">
</t>
    </r>
    <r>
      <rPr>
        <sz val="8"/>
        <rFont val="Arial"/>
        <family val="2"/>
      </rPr>
      <t>Angle from pivot to center of gravity</t>
    </r>
  </si>
  <si>
    <r>
      <rPr>
        <sz val="4"/>
        <rFont val="Arial"/>
        <family val="2"/>
      </rPr>
      <t xml:space="preserve">
</t>
    </r>
    <r>
      <rPr>
        <sz val="8"/>
        <rFont val="Arial"/>
        <family val="2"/>
      </rPr>
      <t>Pivot to water level / upstream water depth</t>
    </r>
  </si>
  <si>
    <r>
      <rPr>
        <sz val="4"/>
        <rFont val="Arial"/>
        <family val="2"/>
      </rPr>
      <t xml:space="preserve">
</t>
    </r>
    <r>
      <rPr>
        <sz val="8"/>
        <rFont val="Arial"/>
        <family val="2"/>
      </rPr>
      <t>Lever arm length / pivot height</t>
    </r>
  </si>
  <si>
    <r>
      <rPr>
        <i/>
        <sz val="4"/>
        <rFont val="Arial"/>
        <family val="2"/>
      </rPr>
      <t xml:space="preserve">
</t>
    </r>
    <r>
      <rPr>
        <i/>
        <sz val="7"/>
        <rFont val="Arial"/>
        <family val="2"/>
      </rPr>
      <t>Select a diameter that is readily available for both the steel and the bearings.  It must be larger than the calculated minimum diameter. This calculation assumes 1018 cold-rolled steel is used with an allowable deflection of 2.5 mm.</t>
    </r>
  </si>
  <si>
    <r>
      <rPr>
        <sz val="4"/>
        <rFont val="Arial"/>
        <family val="2"/>
      </rPr>
      <t xml:space="preserve">
</t>
    </r>
    <r>
      <rPr>
        <sz val="8"/>
        <rFont val="Arial"/>
        <family val="2"/>
      </rPr>
      <t>Would you like to use this option?</t>
    </r>
  </si>
  <si>
    <r>
      <rPr>
        <sz val="4"/>
        <color rgb="FF0070C0"/>
        <rFont val="Arial"/>
        <family val="2"/>
      </rPr>
      <t xml:space="preserve">
</t>
    </r>
    <r>
      <rPr>
        <sz val="7"/>
        <color rgb="FF0070C0"/>
        <rFont val="Arial"/>
        <family val="2"/>
      </rPr>
      <t>Shaft diameter (inches, entered above)</t>
    </r>
  </si>
  <si>
    <r>
      <rPr>
        <b/>
        <sz val="4"/>
        <rFont val="Arial"/>
        <family val="2"/>
      </rPr>
      <t xml:space="preserve">
</t>
    </r>
    <r>
      <rPr>
        <b/>
        <sz val="8"/>
        <rFont val="Arial"/>
        <family val="2"/>
      </rPr>
      <t>Is the shaft fixed or rotating?</t>
    </r>
  </si>
  <si>
    <r>
      <rPr>
        <b/>
        <sz val="4"/>
        <rFont val="Arial"/>
        <family val="2"/>
      </rPr>
      <t xml:space="preserve">
</t>
    </r>
    <r>
      <rPr>
        <b/>
        <sz val="11"/>
        <rFont val="Arial"/>
        <family val="2"/>
      </rPr>
      <t>Pivot Shaft Dimensions</t>
    </r>
  </si>
  <si>
    <t xml:space="preserve">
Strip thickness (1/4 inch recommended)</t>
  </si>
  <si>
    <r>
      <t xml:space="preserve">Try to obtain a value less than </t>
    </r>
    <r>
      <rPr>
        <b/>
        <sz val="7"/>
        <rFont val="Arial"/>
        <family val="2"/>
      </rPr>
      <t>4</t>
    </r>
    <r>
      <rPr>
        <sz val="7"/>
        <rFont val="Arial"/>
        <family val="2"/>
      </rPr>
      <t xml:space="preserve"> while maintaining the </t>
    </r>
    <r>
      <rPr>
        <b/>
        <sz val="7"/>
        <color rgb="FFFFC000"/>
        <rFont val="Arial"/>
        <family val="2"/>
      </rPr>
      <t>orange</t>
    </r>
    <r>
      <rPr>
        <sz val="7"/>
        <rFont val="Arial"/>
        <family val="2"/>
      </rPr>
      <t xml:space="preserve"> ratios below:</t>
    </r>
  </si>
  <si>
    <t xml:space="preserve">
</t>
  </si>
  <si>
    <r>
      <rPr>
        <i/>
        <sz val="4"/>
        <rFont val="Arial"/>
        <family val="2"/>
      </rPr>
      <t xml:space="preserve">
</t>
    </r>
    <r>
      <rPr>
        <i/>
        <sz val="7"/>
        <rFont val="Arial"/>
        <family val="2"/>
      </rPr>
      <t>Select a height that is readily available and is greater than the calculated minimum strip height.</t>
    </r>
  </si>
  <si>
    <r>
      <rPr>
        <i/>
        <sz val="6"/>
        <rFont val="Arial"/>
        <family val="2"/>
      </rPr>
      <t xml:space="preserve">
</t>
    </r>
    <r>
      <rPr>
        <i/>
        <sz val="7"/>
        <rFont val="Arial"/>
        <family val="2"/>
      </rPr>
      <t xml:space="preserve">This should be 0.25" or more to prevent the plate from bending if it were to slam shut.  It can also be increased to help with the closing moment, if necessary. </t>
    </r>
    <r>
      <rPr>
        <b/>
        <i/>
        <u/>
        <sz val="7"/>
        <rFont val="Arial"/>
        <family val="2"/>
      </rPr>
      <t>This is also the thickness of the counterweight end caps and brackets.</t>
    </r>
  </si>
  <si>
    <r>
      <rPr>
        <b/>
        <sz val="4"/>
        <rFont val="Arial"/>
        <family val="2"/>
      </rPr>
      <t xml:space="preserve">
</t>
    </r>
    <r>
      <rPr>
        <b/>
        <sz val="8"/>
        <rFont val="Arial"/>
        <family val="2"/>
      </rPr>
      <t>Adjust the pivot shaft diameter (Variable af, above) to the diameter you would like.</t>
    </r>
  </si>
  <si>
    <t>Pivot shaft strip(s)</t>
  </si>
  <si>
    <t>Pivot Shaft Cut List</t>
  </si>
  <si>
    <r>
      <rPr>
        <sz val="4"/>
        <rFont val="Arial"/>
        <family val="2"/>
      </rPr>
      <t xml:space="preserve">
</t>
    </r>
    <r>
      <rPr>
        <sz val="7"/>
        <rFont val="Arial"/>
        <family val="2"/>
      </rPr>
      <t>Minimum shaft diameter without strip(s) (inches)</t>
    </r>
  </si>
  <si>
    <t xml:space="preserve">
Minimum strip height (inches)</t>
  </si>
  <si>
    <t>Part</t>
  </si>
  <si>
    <t>12- cw cylinder and end plates</t>
  </si>
  <si>
    <t>weight without cw material and rebar</t>
  </si>
  <si>
    <t>y without cw material and rebar</t>
  </si>
  <si>
    <t>M*y without cw material and rebar</t>
  </si>
  <si>
    <t>lbs</t>
  </si>
  <si>
    <t>in (- means below the pivot)</t>
  </si>
  <si>
    <t>in-lbs</t>
  </si>
  <si>
    <t xml:space="preserve">Install stops so that the gate movement is limited and it cannot flip backwards.  Allowing it to flip can  cause catastrophic </t>
  </si>
  <si>
    <t xml:space="preserve">structural and personal harm. The stops should be attached to the static frame to not affect the balance of the gate. </t>
  </si>
  <si>
    <t xml:space="preserve">This program is a proprietary product of the ITRC in conjunction with the US Bureau of Reclamation, US Department of the </t>
  </si>
  <si>
    <t xml:space="preserve">Interior, and US Bureau of Indian Affairs.  You should carefully read the following terms and conditions before continuing to </t>
  </si>
  <si>
    <t xml:space="preserve">use this program.  Usage indicates your acceptance of these terms and conditions.  This program is provided "as is" </t>
  </si>
  <si>
    <t xml:space="preserve">without any warranty of any kind, either expressed or implied, including, but not limited to the implied warranties of </t>
  </si>
  <si>
    <t xml:space="preserve">Merchantability and Fitness for a particular purpose.  The entire risk as to the quality and performance of this program is </t>
  </si>
  <si>
    <t xml:space="preserve">with you.  Should this program prove defective, YOU (and not the developers of this program) assume the entire cost of all </t>
  </si>
  <si>
    <t xml:space="preserve">necessary servicing, repair, or correction.  In no event will the developers of this program be liable to you for any damages, </t>
  </si>
  <si>
    <t>including any lost profits, lost savings, or other incidental or consequential damages arising out of the use or</t>
  </si>
  <si>
    <r>
      <t xml:space="preserve">
If the </t>
    </r>
    <r>
      <rPr>
        <b/>
        <sz val="8"/>
        <color rgb="FFFFC000"/>
        <rFont val="Arial"/>
        <family val="2"/>
      </rPr>
      <t>minimum shaft diameter without extra strip(s)</t>
    </r>
    <r>
      <rPr>
        <b/>
        <sz val="8"/>
        <rFont val="Arial"/>
        <family val="2"/>
      </rPr>
      <t xml:space="preserve"> is greater than 2", it may be beneficial to use a smaller shaft (</t>
    </r>
    <r>
      <rPr>
        <b/>
        <sz val="8"/>
        <color rgb="FFFF0000"/>
        <rFont val="Arial"/>
        <family val="2"/>
      </rPr>
      <t>Variable af</t>
    </r>
    <r>
      <rPr>
        <b/>
        <sz val="8"/>
        <rFont val="Arial"/>
        <family val="2"/>
      </rPr>
      <t xml:space="preserve">) with a steel strip(s) welded to the shaft. </t>
    </r>
  </si>
  <si>
    <t>bd</t>
  </si>
  <si>
    <r>
      <rPr>
        <b/>
        <sz val="4"/>
        <rFont val="Arial"/>
        <family val="2"/>
      </rPr>
      <t xml:space="preserve">
</t>
    </r>
    <r>
      <rPr>
        <b/>
        <sz val="8"/>
        <rFont val="Arial"/>
        <family val="2"/>
      </rPr>
      <t>13.  Enter the density of the material used to fill the counterweight:</t>
    </r>
  </si>
  <si>
    <r>
      <rPr>
        <b/>
        <sz val="4"/>
        <rFont val="Arial"/>
        <family val="2"/>
      </rPr>
      <t xml:space="preserve">
</t>
    </r>
    <r>
      <rPr>
        <b/>
        <sz val="8"/>
        <rFont val="Arial"/>
        <family val="2"/>
      </rPr>
      <t>14.  Select the counterweight (CW) support tubing dimensions:</t>
    </r>
  </si>
  <si>
    <r>
      <rPr>
        <b/>
        <sz val="4"/>
        <rFont val="Arial"/>
        <family val="2"/>
      </rPr>
      <t xml:space="preserve">
</t>
    </r>
    <r>
      <rPr>
        <b/>
        <sz val="8"/>
        <rFont val="Arial"/>
        <family val="2"/>
      </rPr>
      <t>15.  Enter the diameter and the length of the pipe/cylinder that causes the closing moment to equal the opening moment:</t>
    </r>
  </si>
  <si>
    <t xml:space="preserve">
16. Select the rebar size to adjusting the counterweight:</t>
  </si>
  <si>
    <r>
      <rPr>
        <b/>
        <sz val="4"/>
        <rFont val="Arial"/>
        <family val="2"/>
      </rPr>
      <t xml:space="preserve">
</t>
    </r>
    <r>
      <rPr>
        <b/>
        <sz val="8"/>
        <rFont val="Arial"/>
        <family val="2"/>
      </rPr>
      <t>17.  Enter the vertical distance from the pivot to center of the counterweight:</t>
    </r>
  </si>
  <si>
    <r>
      <rPr>
        <b/>
        <sz val="4"/>
        <rFont val="Arial"/>
        <family val="2"/>
      </rPr>
      <t xml:space="preserve">
</t>
    </r>
    <r>
      <rPr>
        <b/>
        <sz val="8"/>
        <rFont val="Arial"/>
        <family val="2"/>
      </rPr>
      <t>18.  Check on various ratios, and adjust inputs as needed:</t>
    </r>
  </si>
  <si>
    <r>
      <rPr>
        <b/>
        <sz val="4"/>
        <rFont val="Arial"/>
        <family val="2"/>
      </rPr>
      <t xml:space="preserve">
</t>
    </r>
    <r>
      <rPr>
        <b/>
        <sz val="8"/>
        <rFont val="Arial"/>
        <family val="2"/>
      </rPr>
      <t>19.  Select the pivot shaft diameter:</t>
    </r>
  </si>
  <si>
    <r>
      <rPr>
        <sz val="4"/>
        <color rgb="FF0070C0"/>
        <rFont val="Arial"/>
        <family val="2"/>
      </rPr>
      <t xml:space="preserve">
</t>
    </r>
    <r>
      <rPr>
        <sz val="7"/>
        <color rgb="FF0070C0"/>
        <rFont val="Arial"/>
        <family val="2"/>
      </rPr>
      <t>Distance (in.) from the bottom of the static frame lower support member to the top of the static horizontal pivot lever arm support.</t>
    </r>
  </si>
  <si>
    <r>
      <t xml:space="preserve">
</t>
    </r>
    <r>
      <rPr>
        <sz val="7"/>
        <color rgb="FF0070C0"/>
        <rFont val="Arial"/>
        <family val="2"/>
      </rPr>
      <t>Clearance between the faceplate and the wall. A minimum of 0.5" is recommended.</t>
    </r>
  </si>
  <si>
    <t xml:space="preserve">
2.  Enter the total width including the depth of both board slots:</t>
  </si>
  <si>
    <t xml:space="preserve">
3.  Enter the desired upstream water height above the bottom of the static support frame:</t>
  </si>
  <si>
    <r>
      <rPr>
        <b/>
        <sz val="4"/>
        <rFont val="Arial"/>
        <family val="2"/>
      </rPr>
      <t xml:space="preserve">
</t>
    </r>
    <r>
      <rPr>
        <b/>
        <sz val="8"/>
        <rFont val="Arial"/>
        <family val="2"/>
      </rPr>
      <t>5.  Enter the depth the static frame will extend (overlap) into each board slot:</t>
    </r>
  </si>
  <si>
    <r>
      <rPr>
        <i/>
        <sz val="4"/>
        <rFont val="Arial"/>
        <family val="2"/>
      </rPr>
      <t xml:space="preserve">
</t>
    </r>
    <r>
      <rPr>
        <i/>
        <sz val="7"/>
        <rFont val="Arial"/>
        <family val="2"/>
      </rPr>
      <t>This value must be less than the depth of each board slot. Depending on site conditions, a minimum clearance of 0.25" to 0.5" on each side is recommended. A minimum overlap of 1" is recommended, however additional overlap may be needed for structural integrity.</t>
    </r>
  </si>
  <si>
    <r>
      <rPr>
        <sz val="8"/>
        <rFont val="Arial"/>
        <family val="2"/>
      </rPr>
      <t xml:space="preserve">
</t>
    </r>
    <r>
      <rPr>
        <b/>
        <sz val="8"/>
        <rFont val="Arial"/>
        <family val="2"/>
      </rPr>
      <t>1.  Enter the width of the structure opening (the flow path):</t>
    </r>
  </si>
  <si>
    <r>
      <rPr>
        <b/>
        <sz val="4"/>
        <rFont val="Arial"/>
        <family val="2"/>
      </rPr>
      <t xml:space="preserve">
</t>
    </r>
    <r>
      <rPr>
        <b/>
        <sz val="8"/>
        <rFont val="Arial"/>
        <family val="2"/>
      </rPr>
      <t>4.  Enter the vertical tubing (which will slide into the flashboard slot) dimensions for the static frame:</t>
    </r>
  </si>
  <si>
    <r>
      <rPr>
        <b/>
        <sz val="4"/>
        <rFont val="Arial"/>
        <family val="2"/>
      </rPr>
      <t xml:space="preserve">
</t>
    </r>
    <r>
      <rPr>
        <b/>
        <sz val="8"/>
        <rFont val="Arial"/>
        <family val="2"/>
      </rPr>
      <t>6.  Enter the upper and lower horizontal tubing (used to support the flap gate) dimensions for the static frame:</t>
    </r>
  </si>
  <si>
    <t xml:space="preserve">
7.  Enter the height of the pivot point above the bottom of the static frame:</t>
  </si>
  <si>
    <r>
      <rPr>
        <b/>
        <sz val="4"/>
        <rFont val="Arial"/>
        <family val="2"/>
      </rPr>
      <t xml:space="preserve">
</t>
    </r>
    <r>
      <rPr>
        <b/>
        <sz val="8"/>
        <rFont val="Arial"/>
        <family val="2"/>
      </rPr>
      <t>8.  Enter the desired vertical distance from the top of the upstream water level to the top of the faceplate:</t>
    </r>
  </si>
  <si>
    <r>
      <rPr>
        <b/>
        <sz val="2"/>
        <rFont val="Arial"/>
        <family val="2"/>
      </rPr>
      <t xml:space="preserve">
</t>
    </r>
    <r>
      <rPr>
        <b/>
        <sz val="8"/>
        <rFont val="Arial"/>
        <family val="2"/>
      </rPr>
      <t>9.  Enter the pivot lever arm length from the pivot point to the upstream side of the faceplate:</t>
    </r>
  </si>
  <si>
    <r>
      <rPr>
        <b/>
        <sz val="4"/>
        <rFont val="Arial"/>
        <family val="2"/>
      </rPr>
      <t xml:space="preserve">
</t>
    </r>
    <r>
      <rPr>
        <b/>
        <sz val="8"/>
        <rFont val="Arial"/>
        <family val="2"/>
      </rPr>
      <t>10.  Enter the faceplate overlap of the static frame:</t>
    </r>
  </si>
  <si>
    <r>
      <rPr>
        <b/>
        <sz val="4"/>
        <rFont val="Arial"/>
        <family val="2"/>
      </rPr>
      <t xml:space="preserve">
</t>
    </r>
    <r>
      <rPr>
        <b/>
        <sz val="8"/>
        <rFont val="Arial"/>
        <family val="2"/>
      </rPr>
      <t>11.  Enter the faceplate thickness:</t>
    </r>
  </si>
  <si>
    <r>
      <t xml:space="preserve">
12.  Enter the weight per foot of the steel tubing used to make the </t>
    </r>
    <r>
      <rPr>
        <b/>
        <u/>
        <sz val="8"/>
        <rFont val="Arial"/>
        <family val="2"/>
      </rPr>
      <t>dynamic</t>
    </r>
    <r>
      <rPr>
        <b/>
        <sz val="8"/>
        <rFont val="Arial"/>
        <family val="2"/>
      </rPr>
      <t xml:space="preserve"> frame as well as the tubing dimensions:</t>
    </r>
  </si>
  <si>
    <r>
      <rPr>
        <sz val="4"/>
        <color rgb="FF0070C0"/>
        <rFont val="Arial"/>
        <family val="2"/>
      </rPr>
      <t xml:space="preserve">
</t>
    </r>
    <r>
      <rPr>
        <sz val="7"/>
        <color rgb="FF0070C0"/>
        <rFont val="Arial"/>
        <family val="2"/>
      </rPr>
      <t>Clearance (in.) between the static frame pivot arm supports and the structure walls.</t>
    </r>
  </si>
  <si>
    <r>
      <rPr>
        <b/>
        <sz val="4"/>
        <rFont val="Arial"/>
        <family val="2"/>
      </rPr>
      <t xml:space="preserve">
</t>
    </r>
    <r>
      <rPr>
        <b/>
        <sz val="11"/>
        <rFont val="Arial"/>
        <family val="2"/>
      </rPr>
      <t>Channel Dimensions</t>
    </r>
  </si>
  <si>
    <r>
      <rPr>
        <i/>
        <sz val="4"/>
        <rFont val="Arial"/>
        <family val="2"/>
      </rPr>
      <t xml:space="preserve">
</t>
    </r>
    <r>
      <rPr>
        <i/>
        <sz val="7"/>
        <rFont val="Arial"/>
        <family val="2"/>
      </rPr>
      <t>This value must be greater than or equal to zero. A clearance of at least 0.25" is recommended.</t>
    </r>
  </si>
  <si>
    <t>Version 2024.04.02</t>
  </si>
  <si>
    <t>SC-2975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</si>
</sst>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
    <numFmt numFmtId="166" formatCode="0.0000"/>
    <numFmt numFmtId="167" formatCode="0.000"/>
    <numFmt numFmtId="168" formatCode="0.0%"/>
  </numFmts>
  <fonts count="99">
    <font>
      <sz val="10"/>
      <name val="Geneva"/>
    </font>
    <font>
      <sz val="11"/>
      <color theme="1"/>
      <name val="Calibri"/>
      <family val="2"/>
      <scheme val="minor"/>
    </font>
    <font>
      <sz val="11"/>
      <color theme="1"/>
      <name val="Calibri"/>
      <family val="2"/>
      <scheme val="minor"/>
    </font>
    <font>
      <b/>
      <sz val="10"/>
      <name val="Geneva"/>
    </font>
    <font>
      <b/>
      <i/>
      <sz val="10"/>
      <name val="Geneva"/>
    </font>
    <font>
      <sz val="10"/>
      <name val="Geneva"/>
    </font>
    <font>
      <b/>
      <sz val="9"/>
      <name val="Arial"/>
      <family val="2"/>
    </font>
    <font>
      <sz val="9"/>
      <name val="Arial"/>
      <family val="2"/>
    </font>
    <font>
      <sz val="9"/>
      <color indexed="10"/>
      <name val="Arial"/>
      <family val="2"/>
    </font>
    <font>
      <sz val="9"/>
      <name val="Geneva"/>
    </font>
    <font>
      <b/>
      <sz val="9"/>
      <color indexed="32"/>
      <name val="Arial"/>
      <family val="2"/>
    </font>
    <font>
      <sz val="9"/>
      <color indexed="32"/>
      <name val="Arial"/>
      <family val="2"/>
    </font>
    <font>
      <b/>
      <sz val="9"/>
      <color indexed="20"/>
      <name val="Arial"/>
      <family val="2"/>
    </font>
    <font>
      <sz val="9"/>
      <color indexed="8"/>
      <name val="Arial"/>
      <family val="2"/>
    </font>
    <font>
      <b/>
      <sz val="9"/>
      <color indexed="8"/>
      <name val="Arial"/>
      <family val="2"/>
    </font>
    <font>
      <sz val="10"/>
      <color indexed="10"/>
      <name val="Arial"/>
      <family val="2"/>
    </font>
    <font>
      <sz val="9"/>
      <color indexed="18"/>
      <name val="Arial"/>
      <family val="2"/>
    </font>
    <font>
      <b/>
      <sz val="9"/>
      <color indexed="62"/>
      <name val="Arial"/>
      <family val="2"/>
    </font>
    <font>
      <sz val="8"/>
      <name val="Arial"/>
      <family val="2"/>
    </font>
    <font>
      <b/>
      <sz val="10"/>
      <name val="Arial"/>
      <family val="2"/>
    </font>
    <font>
      <b/>
      <sz val="11"/>
      <name val="Arial"/>
      <family val="2"/>
    </font>
    <font>
      <b/>
      <sz val="11"/>
      <color indexed="8"/>
      <name val="Arial"/>
      <family val="2"/>
    </font>
    <font>
      <b/>
      <sz val="10"/>
      <color indexed="18"/>
      <name val="Arial"/>
      <family val="2"/>
    </font>
    <font>
      <b/>
      <sz val="20"/>
      <name val="Arial"/>
      <family val="2"/>
    </font>
    <font>
      <b/>
      <sz val="12"/>
      <name val="Arial"/>
      <family val="2"/>
    </font>
    <font>
      <i/>
      <sz val="9"/>
      <name val="Arial"/>
      <family val="2"/>
    </font>
    <font>
      <b/>
      <sz val="12"/>
      <color indexed="10"/>
      <name val="Arial"/>
      <family val="2"/>
    </font>
    <font>
      <u/>
      <sz val="9"/>
      <name val="Arial"/>
      <family val="2"/>
    </font>
    <font>
      <b/>
      <sz val="10"/>
      <color indexed="12"/>
      <name val="Arial"/>
      <family val="2"/>
    </font>
    <font>
      <b/>
      <i/>
      <sz val="9"/>
      <name val="Arial"/>
      <family val="2"/>
    </font>
    <font>
      <sz val="10"/>
      <color indexed="9"/>
      <name val="Geneva"/>
    </font>
    <font>
      <b/>
      <sz val="9"/>
      <color indexed="10"/>
      <name val="Arial"/>
      <family val="2"/>
    </font>
    <font>
      <b/>
      <u/>
      <sz val="10"/>
      <name val="Geneva"/>
    </font>
    <font>
      <b/>
      <u/>
      <sz val="9"/>
      <name val="Geneva"/>
    </font>
    <font>
      <b/>
      <i/>
      <sz val="9"/>
      <color indexed="12"/>
      <name val="Arial"/>
      <family val="2"/>
    </font>
    <font>
      <b/>
      <i/>
      <sz val="10"/>
      <color indexed="12"/>
      <name val="Arial"/>
      <family val="2"/>
    </font>
    <font>
      <b/>
      <sz val="11"/>
      <color indexed="10"/>
      <name val="Arial"/>
      <family val="2"/>
    </font>
    <font>
      <sz val="11"/>
      <color indexed="10"/>
      <name val="Arial"/>
      <family val="2"/>
    </font>
    <font>
      <sz val="11"/>
      <name val="Arial"/>
      <family val="2"/>
    </font>
    <font>
      <i/>
      <sz val="11"/>
      <color indexed="8"/>
      <name val="Arial"/>
      <family val="2"/>
    </font>
    <font>
      <b/>
      <sz val="8"/>
      <name val="Arial"/>
      <family val="2"/>
    </font>
    <font>
      <sz val="9"/>
      <color indexed="12"/>
      <name val="Arial"/>
      <family val="2"/>
    </font>
    <font>
      <b/>
      <i/>
      <u/>
      <sz val="10"/>
      <color indexed="60"/>
      <name val="Arial"/>
      <family val="2"/>
    </font>
    <font>
      <b/>
      <sz val="11"/>
      <color rgb="FFFF0000"/>
      <name val="Arial"/>
      <family val="2"/>
    </font>
    <font>
      <b/>
      <sz val="11"/>
      <color indexed="32"/>
      <name val="Arial"/>
      <family val="2"/>
    </font>
    <font>
      <b/>
      <sz val="12"/>
      <color theme="0"/>
      <name val="Arial"/>
      <family val="2"/>
    </font>
    <font>
      <i/>
      <sz val="8"/>
      <name val="Arial"/>
      <family val="2"/>
    </font>
    <font>
      <sz val="8"/>
      <color rgb="FF0070C0"/>
      <name val="Arial"/>
      <family val="2"/>
    </font>
    <font>
      <b/>
      <sz val="10"/>
      <color rgb="FF0000FF"/>
      <name val="Arial"/>
      <family val="2"/>
    </font>
    <font>
      <b/>
      <i/>
      <sz val="10"/>
      <color rgb="FF0000FF"/>
      <name val="Arial"/>
      <family val="2"/>
    </font>
    <font>
      <b/>
      <sz val="8"/>
      <color indexed="10"/>
      <name val="Arial"/>
      <family val="2"/>
    </font>
    <font>
      <b/>
      <sz val="9"/>
      <color theme="4" tint="-0.499984740745262"/>
      <name val="Arial"/>
      <family val="2"/>
    </font>
    <font>
      <b/>
      <sz val="9"/>
      <color indexed="12"/>
      <name val="Arial"/>
      <family val="2"/>
    </font>
    <font>
      <vertAlign val="subscript"/>
      <sz val="9"/>
      <name val="Arial"/>
      <family val="2"/>
    </font>
    <font>
      <sz val="9"/>
      <name val="Calibri"/>
      <family val="2"/>
    </font>
    <font>
      <vertAlign val="subscript"/>
      <sz val="10"/>
      <name val="Geneva"/>
    </font>
    <font>
      <vertAlign val="subscript"/>
      <sz val="9"/>
      <name val="Geneva"/>
    </font>
    <font>
      <sz val="9"/>
      <color rgb="FF002060"/>
      <name val="Arial"/>
      <family val="2"/>
    </font>
    <font>
      <b/>
      <sz val="10"/>
      <color rgb="FFFF0000"/>
      <name val="Arial"/>
      <family val="2"/>
    </font>
    <font>
      <vertAlign val="superscript"/>
      <sz val="9"/>
      <color indexed="32"/>
      <name val="Arial"/>
      <family val="2"/>
    </font>
    <font>
      <sz val="9"/>
      <color theme="0"/>
      <name val="Arial"/>
      <family val="2"/>
    </font>
    <font>
      <b/>
      <sz val="12"/>
      <color theme="1" tint="0.499984740745262"/>
      <name val="Arial"/>
      <family val="2"/>
    </font>
    <font>
      <b/>
      <sz val="9"/>
      <color rgb="FF000080"/>
      <name val="Arial"/>
      <family val="2"/>
    </font>
    <font>
      <sz val="6"/>
      <name val="Arial"/>
      <family val="2"/>
    </font>
    <font>
      <vertAlign val="subscript"/>
      <sz val="6"/>
      <name val="Arial"/>
      <family val="2"/>
    </font>
    <font>
      <sz val="9"/>
      <color rgb="FFFF0000"/>
      <name val="Arial"/>
      <family val="2"/>
    </font>
    <font>
      <b/>
      <sz val="9"/>
      <color rgb="FFFF0000"/>
      <name val="Arial"/>
      <family val="2"/>
    </font>
    <font>
      <sz val="7"/>
      <name val="Geneva"/>
    </font>
    <font>
      <b/>
      <i/>
      <sz val="8"/>
      <color indexed="12"/>
      <name val="Arial"/>
      <family val="2"/>
    </font>
    <font>
      <b/>
      <sz val="8"/>
      <color theme="1" tint="0.499984740745262"/>
      <name val="Arial"/>
      <family val="2"/>
    </font>
    <font>
      <b/>
      <sz val="9"/>
      <name val="Geneva"/>
    </font>
    <font>
      <u/>
      <sz val="8"/>
      <name val="Arial"/>
      <family val="2"/>
    </font>
    <font>
      <sz val="8"/>
      <name val="Geneva"/>
    </font>
    <font>
      <b/>
      <sz val="8"/>
      <name val="Geneva"/>
    </font>
    <font>
      <b/>
      <sz val="4"/>
      <name val="Arial"/>
      <family val="2"/>
    </font>
    <font>
      <i/>
      <sz val="4"/>
      <name val="Arial"/>
      <family val="2"/>
    </font>
    <font>
      <sz val="4"/>
      <color rgb="FF0070C0"/>
      <name val="Arial"/>
      <family val="2"/>
    </font>
    <font>
      <b/>
      <sz val="2"/>
      <name val="Arial"/>
      <family val="2"/>
    </font>
    <font>
      <sz val="4"/>
      <name val="Arial"/>
      <family val="2"/>
    </font>
    <font>
      <sz val="7"/>
      <color rgb="FF0070C0"/>
      <name val="Arial"/>
      <family val="2"/>
    </font>
    <font>
      <i/>
      <sz val="7"/>
      <color rgb="FF0070C0"/>
      <name val="Arial"/>
      <family val="2"/>
    </font>
    <font>
      <i/>
      <sz val="7"/>
      <name val="Arial"/>
      <family val="2"/>
    </font>
    <font>
      <b/>
      <sz val="7"/>
      <name val="Arial"/>
      <family val="2"/>
    </font>
    <font>
      <b/>
      <i/>
      <u/>
      <sz val="7"/>
      <name val="Arial"/>
      <family val="2"/>
    </font>
    <font>
      <b/>
      <u/>
      <sz val="8"/>
      <name val="Arial"/>
      <family val="2"/>
    </font>
    <font>
      <sz val="8"/>
      <color theme="1"/>
      <name val="Arial"/>
      <family val="2"/>
    </font>
    <font>
      <sz val="4"/>
      <color theme="1"/>
      <name val="Arial"/>
      <family val="2"/>
    </font>
    <font>
      <sz val="7"/>
      <name val="Arial"/>
      <family val="2"/>
    </font>
    <font>
      <b/>
      <sz val="7"/>
      <color rgb="FFFFC000"/>
      <name val="Arial"/>
      <family val="2"/>
    </font>
    <font>
      <i/>
      <sz val="6"/>
      <name val="Arial"/>
      <family val="2"/>
    </font>
    <font>
      <b/>
      <sz val="10"/>
      <color theme="0"/>
      <name val="Arial"/>
      <family val="2"/>
    </font>
    <font>
      <b/>
      <sz val="10"/>
      <color theme="1" tint="0.499984740745262"/>
      <name val="Arial"/>
      <family val="2"/>
    </font>
    <font>
      <sz val="10"/>
      <name val="Arial"/>
      <family val="2"/>
    </font>
    <font>
      <b/>
      <sz val="10"/>
      <color theme="0" tint="-0.499984740745262"/>
      <name val="Arial"/>
      <family val="2"/>
    </font>
    <font>
      <sz val="10"/>
      <color theme="0"/>
      <name val="Arial"/>
      <family val="2"/>
    </font>
    <font>
      <sz val="9"/>
      <color theme="1"/>
      <name val="Arial"/>
      <family val="2"/>
    </font>
    <font>
      <b/>
      <sz val="8"/>
      <color rgb="FFFF0000"/>
      <name val="Arial"/>
      <family val="2"/>
    </font>
    <font>
      <b/>
      <sz val="8"/>
      <color rgb="FFFFC000"/>
      <name val="Arial"/>
      <family val="2"/>
    </font>
    <font>
      <b/>
      <sz val="18"/>
      <name val="Arial"/>
      <family val="2"/>
    </font>
  </fonts>
  <fills count="15">
    <fill>
      <patternFill patternType="none"/>
    </fill>
    <fill>
      <patternFill patternType="gray125"/>
    </fill>
    <fill>
      <patternFill patternType="solid">
        <fgColor indexed="47"/>
        <bgColor indexed="64"/>
      </patternFill>
    </fill>
    <fill>
      <patternFill patternType="solid">
        <fgColor indexed="23"/>
        <bgColor indexed="64"/>
      </patternFill>
    </fill>
    <fill>
      <patternFill patternType="solid">
        <fgColor indexed="23"/>
        <bgColor indexed="9"/>
      </patternFill>
    </fill>
    <fill>
      <patternFill patternType="solid">
        <fgColor indexed="43"/>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499984740745262"/>
        <bgColor indexed="9"/>
      </patternFill>
    </fill>
    <fill>
      <patternFill patternType="solid">
        <fgColor rgb="FFE3E3E3"/>
        <bgColor indexed="64"/>
      </patternFill>
    </fill>
    <fill>
      <patternFill patternType="solid">
        <fgColor rgb="FFFFFF00"/>
        <bgColor indexed="64"/>
      </patternFill>
    </fill>
    <fill>
      <patternFill patternType="solid">
        <fgColor rgb="FF66FF33"/>
        <bgColor indexed="64"/>
      </patternFill>
    </fill>
    <fill>
      <patternFill patternType="solid">
        <fgColor rgb="FFFFFF99"/>
        <bgColor indexed="64"/>
      </patternFill>
    </fill>
  </fills>
  <borders count="50">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rgb="FFFF0000"/>
      </right>
      <top style="thin">
        <color rgb="FFFF0000"/>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9" fontId="5" fillId="0" borderId="0" applyFont="0" applyFill="0" applyBorder="0" applyAlignment="0" applyProtection="0"/>
    <xf numFmtId="0" fontId="2" fillId="0" borderId="0"/>
    <xf numFmtId="0" fontId="1" fillId="0" borderId="0"/>
  </cellStyleXfs>
  <cellXfs count="585">
    <xf numFmtId="0" fontId="0" fillId="0" borderId="0" xfId="0"/>
    <xf numFmtId="0" fontId="26" fillId="0" borderId="8" xfId="0" applyFont="1" applyBorder="1" applyAlignment="1" applyProtection="1">
      <alignment horizontal="center"/>
      <protection locked="0"/>
    </xf>
    <xf numFmtId="0" fontId="7" fillId="4" borderId="0" xfId="0" applyFont="1" applyFill="1" applyProtection="1">
      <protection hidden="1"/>
    </xf>
    <xf numFmtId="0" fontId="0" fillId="4" borderId="0" xfId="0" applyFill="1" applyProtection="1">
      <protection hidden="1"/>
    </xf>
    <xf numFmtId="0" fontId="0" fillId="4" borderId="9" xfId="0" applyFill="1" applyBorder="1" applyProtection="1">
      <protection hidden="1"/>
    </xf>
    <xf numFmtId="0" fontId="0" fillId="4" borderId="6" xfId="0" applyFill="1" applyBorder="1" applyProtection="1">
      <protection hidden="1"/>
    </xf>
    <xf numFmtId="0" fontId="0" fillId="4" borderId="4" xfId="0" applyFill="1" applyBorder="1" applyProtection="1">
      <protection hidden="1"/>
    </xf>
    <xf numFmtId="0" fontId="0" fillId="4" borderId="0" xfId="0" applyFill="1" applyAlignment="1" applyProtection="1">
      <alignment horizontal="right"/>
      <protection hidden="1"/>
    </xf>
    <xf numFmtId="0" fontId="0" fillId="4" borderId="2" xfId="0" applyFill="1" applyBorder="1" applyProtection="1">
      <protection hidden="1"/>
    </xf>
    <xf numFmtId="0" fontId="0" fillId="4" borderId="5" xfId="0" applyFill="1" applyBorder="1" applyProtection="1">
      <protection hidden="1"/>
    </xf>
    <xf numFmtId="0" fontId="0" fillId="4" borderId="1" xfId="0" applyFill="1" applyBorder="1" applyAlignment="1" applyProtection="1">
      <alignment horizontal="right"/>
      <protection hidden="1"/>
    </xf>
    <xf numFmtId="2" fontId="0" fillId="4" borderId="0" xfId="0" applyNumberFormat="1" applyFill="1" applyProtection="1">
      <protection hidden="1"/>
    </xf>
    <xf numFmtId="0" fontId="13" fillId="4" borderId="0" xfId="0" applyFont="1" applyFill="1" applyProtection="1">
      <protection hidden="1"/>
    </xf>
    <xf numFmtId="0" fontId="0" fillId="4" borderId="4" xfId="0" applyFill="1" applyBorder="1" applyAlignment="1" applyProtection="1">
      <alignment horizontal="center"/>
      <protection hidden="1"/>
    </xf>
    <xf numFmtId="0" fontId="0" fillId="4" borderId="0" xfId="0" applyFill="1" applyAlignment="1" applyProtection="1">
      <alignment horizontal="center"/>
      <protection hidden="1"/>
    </xf>
    <xf numFmtId="0" fontId="7" fillId="3" borderId="0" xfId="0" applyFont="1" applyFill="1" applyProtection="1">
      <protection hidden="1"/>
    </xf>
    <xf numFmtId="164" fontId="12" fillId="3" borderId="0" xfId="0" applyNumberFormat="1" applyFont="1" applyFill="1" applyProtection="1">
      <protection hidden="1"/>
    </xf>
    <xf numFmtId="0" fontId="7" fillId="4" borderId="2" xfId="0" applyFont="1" applyFill="1" applyBorder="1" applyProtection="1">
      <protection hidden="1"/>
    </xf>
    <xf numFmtId="0" fontId="7" fillId="4" borderId="4" xfId="0" applyFont="1" applyFill="1" applyBorder="1" applyProtection="1">
      <protection hidden="1"/>
    </xf>
    <xf numFmtId="164" fontId="7" fillId="4" borderId="0" xfId="0" applyNumberFormat="1" applyFont="1" applyFill="1" applyProtection="1">
      <protection hidden="1"/>
    </xf>
    <xf numFmtId="2" fontId="7" fillId="4" borderId="0" xfId="0" applyNumberFormat="1" applyFont="1" applyFill="1" applyProtection="1">
      <protection hidden="1"/>
    </xf>
    <xf numFmtId="167" fontId="7" fillId="4" borderId="0" xfId="0" applyNumberFormat="1" applyFont="1" applyFill="1" applyProtection="1">
      <protection hidden="1"/>
    </xf>
    <xf numFmtId="0" fontId="7" fillId="4" borderId="9" xfId="0" applyFont="1" applyFill="1" applyBorder="1" applyProtection="1">
      <protection hidden="1"/>
    </xf>
    <xf numFmtId="0" fontId="7" fillId="4" borderId="6" xfId="0" applyFont="1" applyFill="1" applyBorder="1" applyProtection="1">
      <protection hidden="1"/>
    </xf>
    <xf numFmtId="0" fontId="7" fillId="4" borderId="7" xfId="0" applyFont="1" applyFill="1" applyBorder="1" applyProtection="1">
      <protection hidden="1"/>
    </xf>
    <xf numFmtId="164" fontId="7" fillId="4" borderId="2" xfId="0" applyNumberFormat="1" applyFont="1" applyFill="1" applyBorder="1" applyProtection="1">
      <protection hidden="1"/>
    </xf>
    <xf numFmtId="0" fontId="7" fillId="4" borderId="3" xfId="0" applyFont="1" applyFill="1" applyBorder="1" applyProtection="1">
      <protection hidden="1"/>
    </xf>
    <xf numFmtId="0" fontId="7" fillId="4" borderId="12" xfId="0" applyFont="1" applyFill="1" applyBorder="1" applyProtection="1">
      <protection hidden="1"/>
    </xf>
    <xf numFmtId="164" fontId="7" fillId="4" borderId="13" xfId="0" applyNumberFormat="1" applyFont="1" applyFill="1" applyBorder="1" applyProtection="1">
      <protection hidden="1"/>
    </xf>
    <xf numFmtId="0" fontId="7" fillId="4" borderId="11" xfId="0" applyFont="1" applyFill="1" applyBorder="1" applyProtection="1">
      <protection hidden="1"/>
    </xf>
    <xf numFmtId="0" fontId="7" fillId="4" borderId="0" xfId="0" applyFont="1" applyFill="1" applyAlignment="1" applyProtection="1">
      <alignment horizontal="right"/>
      <protection hidden="1"/>
    </xf>
    <xf numFmtId="0" fontId="36" fillId="0" borderId="8" xfId="0" applyFont="1" applyBorder="1" applyAlignment="1" applyProtection="1">
      <alignment horizontal="center"/>
      <protection locked="0"/>
    </xf>
    <xf numFmtId="2" fontId="36" fillId="0" borderId="8" xfId="0" applyNumberFormat="1" applyFont="1" applyBorder="1" applyAlignment="1" applyProtection="1">
      <alignment horizontal="center"/>
      <protection locked="0"/>
    </xf>
    <xf numFmtId="0" fontId="37" fillId="0" borderId="0" xfId="0" applyFont="1"/>
    <xf numFmtId="0" fontId="38" fillId="0" borderId="0" xfId="0" applyFont="1"/>
    <xf numFmtId="0" fontId="39" fillId="0" borderId="0" xfId="0" applyFont="1"/>
    <xf numFmtId="2" fontId="39" fillId="0" borderId="0" xfId="0" applyNumberFormat="1" applyFont="1"/>
    <xf numFmtId="0" fontId="36" fillId="0" borderId="0" xfId="0" applyFont="1" applyAlignment="1">
      <alignment horizontal="center"/>
    </xf>
    <xf numFmtId="0" fontId="7" fillId="0" borderId="0" xfId="0" applyFont="1"/>
    <xf numFmtId="0" fontId="38" fillId="0" borderId="6" xfId="0" applyFont="1" applyBorder="1"/>
    <xf numFmtId="0" fontId="7" fillId="0" borderId="6" xfId="0" applyFont="1" applyBorder="1"/>
    <xf numFmtId="0" fontId="7" fillId="0" borderId="7" xfId="0" applyFont="1" applyBorder="1"/>
    <xf numFmtId="0" fontId="7" fillId="3" borderId="0" xfId="0" applyFont="1" applyFill="1"/>
    <xf numFmtId="0" fontId="7" fillId="3" borderId="0" xfId="0" applyFont="1" applyFill="1" applyAlignment="1">
      <alignment horizontal="center"/>
    </xf>
    <xf numFmtId="0" fontId="18" fillId="0" borderId="1" xfId="0" applyFont="1" applyBorder="1"/>
    <xf numFmtId="0" fontId="7" fillId="0" borderId="3" xfId="0" applyFont="1" applyBorder="1"/>
    <xf numFmtId="0" fontId="0" fillId="3" borderId="0" xfId="0" applyFill="1"/>
    <xf numFmtId="0" fontId="6" fillId="0" borderId="0" xfId="0" applyFont="1" applyAlignment="1">
      <alignment horizontal="center"/>
    </xf>
    <xf numFmtId="0" fontId="7" fillId="0" borderId="2" xfId="0" applyFont="1" applyBorder="1"/>
    <xf numFmtId="0" fontId="46" fillId="0" borderId="4" xfId="0" applyFont="1" applyBorder="1" applyAlignment="1">
      <alignment horizontal="left" vertical="center" wrapText="1" indent="3"/>
    </xf>
    <xf numFmtId="164" fontId="36" fillId="0" borderId="0" xfId="0" applyNumberFormat="1" applyFont="1" applyAlignment="1">
      <alignment horizontal="center"/>
    </xf>
    <xf numFmtId="0" fontId="7" fillId="0" borderId="4" xfId="0" applyFont="1" applyBorder="1" applyAlignment="1">
      <alignment vertical="center" wrapText="1"/>
    </xf>
    <xf numFmtId="2" fontId="35" fillId="0" borderId="0" xfId="0" applyNumberFormat="1" applyFont="1" applyAlignment="1">
      <alignment horizontal="center" wrapText="1"/>
    </xf>
    <xf numFmtId="164" fontId="43" fillId="0" borderId="0" xfId="0" applyNumberFormat="1" applyFont="1" applyAlignment="1">
      <alignment horizontal="center"/>
    </xf>
    <xf numFmtId="0" fontId="43" fillId="0" borderId="0" xfId="0" applyFont="1" applyAlignment="1">
      <alignment horizontal="center"/>
    </xf>
    <xf numFmtId="0" fontId="7" fillId="0" borderId="0" xfId="0" applyFont="1" applyAlignment="1">
      <alignment horizontal="right"/>
    </xf>
    <xf numFmtId="0" fontId="0" fillId="3" borderId="0" xfId="0" applyFill="1" applyAlignment="1">
      <alignment horizontal="center"/>
    </xf>
    <xf numFmtId="12" fontId="6" fillId="0" borderId="0" xfId="0" applyNumberFormat="1" applyFont="1" applyAlignment="1">
      <alignment horizontal="left"/>
    </xf>
    <xf numFmtId="2" fontId="0" fillId="3" borderId="0" xfId="0" applyNumberFormat="1" applyFill="1"/>
    <xf numFmtId="0" fontId="8" fillId="3" borderId="0" xfId="0" applyFont="1" applyFill="1"/>
    <xf numFmtId="0" fontId="36" fillId="0" borderId="1" xfId="0" applyFont="1" applyBorder="1" applyAlignment="1">
      <alignment horizontal="center"/>
    </xf>
    <xf numFmtId="0" fontId="7" fillId="0" borderId="1" xfId="0" applyFont="1" applyBorder="1"/>
    <xf numFmtId="0" fontId="20" fillId="7" borderId="8" xfId="0" applyFont="1" applyFill="1" applyBorder="1" applyAlignment="1">
      <alignment horizontal="left" wrapText="1" indent="2"/>
    </xf>
    <xf numFmtId="0" fontId="36" fillId="0" borderId="6" xfId="0" applyFont="1" applyBorder="1" applyAlignment="1">
      <alignment horizontal="center"/>
    </xf>
    <xf numFmtId="2" fontId="7" fillId="3" borderId="0" xfId="0" applyNumberFormat="1" applyFont="1" applyFill="1"/>
    <xf numFmtId="0" fontId="8" fillId="0" borderId="1" xfId="0" applyFont="1" applyBorder="1"/>
    <xf numFmtId="0" fontId="0" fillId="0" borderId="6" xfId="0" applyBorder="1" applyAlignment="1">
      <alignment wrapText="1"/>
    </xf>
    <xf numFmtId="0" fontId="7" fillId="0" borderId="4" xfId="0" applyFont="1" applyBorder="1" applyAlignment="1">
      <alignment horizontal="left" vertical="center" wrapText="1"/>
    </xf>
    <xf numFmtId="0" fontId="0" fillId="0" borderId="0" xfId="0" applyAlignment="1">
      <alignment wrapText="1"/>
    </xf>
    <xf numFmtId="0" fontId="19" fillId="0" borderId="0" xfId="0" applyFont="1"/>
    <xf numFmtId="0" fontId="7" fillId="0" borderId="4" xfId="0" applyFont="1" applyBorder="1" applyAlignment="1">
      <alignment horizontal="right" vertical="center" wrapText="1"/>
    </xf>
    <xf numFmtId="0" fontId="32" fillId="0" borderId="14" xfId="0" applyFont="1" applyBorder="1" applyAlignment="1">
      <alignment horizontal="center" vertical="center"/>
    </xf>
    <xf numFmtId="0" fontId="7" fillId="3" borderId="5" xfId="0" applyFont="1" applyFill="1" applyBorder="1"/>
    <xf numFmtId="0" fontId="7" fillId="3" borderId="1" xfId="0" applyFont="1" applyFill="1" applyBorder="1"/>
    <xf numFmtId="2" fontId="7" fillId="3" borderId="3" xfId="0" applyNumberFormat="1" applyFont="1" applyFill="1" applyBorder="1"/>
    <xf numFmtId="1" fontId="20" fillId="6" borderId="0" xfId="0" applyNumberFormat="1" applyFont="1" applyFill="1" applyAlignment="1">
      <alignment horizontal="center"/>
    </xf>
    <xf numFmtId="0" fontId="18" fillId="0" borderId="0" xfId="0" applyFont="1"/>
    <xf numFmtId="0" fontId="7" fillId="3" borderId="0" xfId="0" applyFont="1" applyFill="1" applyAlignment="1">
      <alignment horizontal="right"/>
    </xf>
    <xf numFmtId="1" fontId="21" fillId="6" borderId="1" xfId="0" applyNumberFormat="1" applyFont="1" applyFill="1" applyBorder="1" applyAlignment="1">
      <alignment horizontal="center"/>
    </xf>
    <xf numFmtId="2" fontId="7" fillId="0" borderId="0" xfId="0" applyNumberFormat="1" applyFont="1" applyAlignment="1">
      <alignment horizontal="right"/>
    </xf>
    <xf numFmtId="0" fontId="42" fillId="0" borderId="4" xfId="0" applyFont="1" applyBorder="1" applyAlignment="1">
      <alignment horizontal="center" vertical="center" wrapText="1"/>
    </xf>
    <xf numFmtId="1" fontId="35" fillId="0" borderId="0" xfId="0" applyNumberFormat="1" applyFont="1" applyAlignment="1">
      <alignment horizontal="center" wrapText="1"/>
    </xf>
    <xf numFmtId="0" fontId="9" fillId="3" borderId="0" xfId="0" applyFont="1" applyFill="1"/>
    <xf numFmtId="164" fontId="7" fillId="0" borderId="0" xfId="0" applyNumberFormat="1" applyFont="1"/>
    <xf numFmtId="0" fontId="8" fillId="0" borderId="0" xfId="0" applyFont="1"/>
    <xf numFmtId="2" fontId="36" fillId="0" borderId="0" xfId="0" applyNumberFormat="1" applyFont="1" applyAlignment="1">
      <alignment horizontal="center"/>
    </xf>
    <xf numFmtId="0" fontId="18" fillId="0" borderId="0" xfId="0" applyFont="1" applyAlignment="1">
      <alignment horizontal="center" wrapText="1"/>
    </xf>
    <xf numFmtId="0" fontId="0" fillId="0" borderId="0" xfId="0" applyAlignment="1">
      <alignment horizontal="right"/>
    </xf>
    <xf numFmtId="2" fontId="7" fillId="0" borderId="0" xfId="0" applyNumberFormat="1" applyFont="1"/>
    <xf numFmtId="2" fontId="0" fillId="0" borderId="0" xfId="0" applyNumberFormat="1"/>
    <xf numFmtId="164" fontId="21" fillId="6" borderId="7" xfId="0" applyNumberFormat="1" applyFont="1" applyFill="1" applyBorder="1" applyAlignment="1">
      <alignment horizontal="center" vertical="center"/>
    </xf>
    <xf numFmtId="2" fontId="21" fillId="6" borderId="2" xfId="0" applyNumberFormat="1" applyFont="1" applyFill="1" applyBorder="1" applyAlignment="1">
      <alignment horizontal="center"/>
    </xf>
    <xf numFmtId="2" fontId="21" fillId="6" borderId="3" xfId="0" applyNumberFormat="1" applyFont="1" applyFill="1" applyBorder="1" applyAlignment="1">
      <alignment horizontal="center"/>
    </xf>
    <xf numFmtId="2" fontId="20" fillId="6" borderId="11" xfId="0" applyNumberFormat="1" applyFont="1" applyFill="1" applyBorder="1" applyAlignment="1">
      <alignment horizontal="center"/>
    </xf>
    <xf numFmtId="0" fontId="44" fillId="7" borderId="8" xfId="0" applyFont="1" applyFill="1" applyBorder="1"/>
    <xf numFmtId="0" fontId="11" fillId="0" borderId="6" xfId="0" applyFont="1" applyBorder="1"/>
    <xf numFmtId="0" fontId="11" fillId="0" borderId="6" xfId="0" applyFont="1" applyBorder="1" applyAlignment="1">
      <alignment horizontal="right"/>
    </xf>
    <xf numFmtId="0" fontId="11" fillId="0" borderId="7" xfId="0" applyFont="1" applyBorder="1"/>
    <xf numFmtId="0" fontId="7" fillId="0" borderId="4" xfId="0" applyFont="1" applyBorder="1"/>
    <xf numFmtId="0" fontId="11" fillId="0" borderId="0" xfId="0" applyFont="1" applyAlignment="1">
      <alignment horizontal="right"/>
    </xf>
    <xf numFmtId="164" fontId="17" fillId="0" borderId="0" xfId="0" applyNumberFormat="1" applyFont="1"/>
    <xf numFmtId="0" fontId="11" fillId="0" borderId="0" xfId="0" applyFont="1"/>
    <xf numFmtId="0" fontId="11" fillId="0" borderId="2" xfId="0" applyFont="1" applyBorder="1"/>
    <xf numFmtId="2" fontId="10" fillId="0" borderId="0" xfId="0" applyNumberFormat="1" applyFont="1"/>
    <xf numFmtId="1" fontId="10" fillId="0" borderId="0" xfId="0" applyNumberFormat="1" applyFont="1"/>
    <xf numFmtId="0" fontId="16" fillId="0" borderId="0" xfId="0" applyFont="1" applyAlignment="1">
      <alignment horizontal="right"/>
    </xf>
    <xf numFmtId="1" fontId="22" fillId="0" borderId="0" xfId="0" applyNumberFormat="1" applyFont="1"/>
    <xf numFmtId="0" fontId="16" fillId="0" borderId="0" xfId="0" applyFont="1"/>
    <xf numFmtId="0" fontId="7" fillId="0" borderId="5" xfId="0" applyFont="1" applyBorder="1"/>
    <xf numFmtId="0" fontId="7" fillId="5" borderId="1" xfId="0" applyFont="1" applyFill="1" applyBorder="1"/>
    <xf numFmtId="0" fontId="11" fillId="5" borderId="1" xfId="0" applyFont="1" applyFill="1" applyBorder="1" applyAlignment="1">
      <alignment horizontal="right"/>
    </xf>
    <xf numFmtId="0" fontId="20" fillId="7" borderId="8" xfId="0" applyFont="1" applyFill="1" applyBorder="1" applyAlignment="1">
      <alignment horizontal="left" indent="1"/>
    </xf>
    <xf numFmtId="0" fontId="16" fillId="0" borderId="6" xfId="0" applyFont="1" applyBorder="1" applyAlignment="1">
      <alignment horizontal="right"/>
    </xf>
    <xf numFmtId="1" fontId="22" fillId="0" borderId="6" xfId="0" applyNumberFormat="1" applyFont="1" applyBorder="1"/>
    <xf numFmtId="0" fontId="16" fillId="0" borderId="6" xfId="0" applyFont="1" applyBorder="1"/>
    <xf numFmtId="166" fontId="10" fillId="0" borderId="0" xfId="0" applyNumberFormat="1" applyFont="1" applyAlignment="1">
      <alignment horizontal="right"/>
    </xf>
    <xf numFmtId="0" fontId="8" fillId="0" borderId="0" xfId="0" applyFont="1" applyAlignment="1">
      <alignment horizontal="right"/>
    </xf>
    <xf numFmtId="2" fontId="31" fillId="0" borderId="0" xfId="0" applyNumberFormat="1" applyFont="1"/>
    <xf numFmtId="0" fontId="8" fillId="0" borderId="1" xfId="0" applyFont="1" applyBorder="1" applyAlignment="1">
      <alignment horizontal="right"/>
    </xf>
    <xf numFmtId="2" fontId="31" fillId="0" borderId="1" xfId="0" applyNumberFormat="1" applyFont="1" applyBorder="1"/>
    <xf numFmtId="0" fontId="11" fillId="0" borderId="1" xfId="0" applyFont="1" applyBorder="1" applyAlignment="1">
      <alignment horizontal="right"/>
    </xf>
    <xf numFmtId="2" fontId="10" fillId="0" borderId="1" xfId="0" applyNumberFormat="1" applyFont="1" applyBorder="1"/>
    <xf numFmtId="0" fontId="11" fillId="0" borderId="1" xfId="0" applyFont="1" applyBorder="1"/>
    <xf numFmtId="0" fontId="11" fillId="0" borderId="3" xfId="0" applyFont="1" applyBorder="1"/>
    <xf numFmtId="0" fontId="9" fillId="0" borderId="6" xfId="0" applyFont="1" applyBorder="1"/>
    <xf numFmtId="0" fontId="27" fillId="0" borderId="9" xfId="0" applyFont="1" applyBorder="1" applyAlignment="1">
      <alignment horizontal="center"/>
    </xf>
    <xf numFmtId="49" fontId="27" fillId="0" borderId="6" xfId="0" applyNumberFormat="1" applyFont="1" applyBorder="1" applyAlignment="1">
      <alignment horizontal="center" wrapText="1"/>
    </xf>
    <xf numFmtId="0" fontId="27" fillId="0" borderId="5" xfId="0" applyFont="1" applyBorder="1" applyAlignment="1">
      <alignment horizontal="center"/>
    </xf>
    <xf numFmtId="49" fontId="27" fillId="0" borderId="1" xfId="0" applyNumberFormat="1" applyFont="1" applyBorder="1" applyAlignment="1">
      <alignment horizontal="center" wrapText="1"/>
    </xf>
    <xf numFmtId="0" fontId="27" fillId="0" borderId="1" xfId="0" applyFont="1" applyBorder="1" applyAlignment="1">
      <alignment horizontal="center"/>
    </xf>
    <xf numFmtId="0" fontId="7" fillId="0" borderId="9" xfId="0" applyFont="1" applyBorder="1" applyAlignment="1">
      <alignment horizontal="center"/>
    </xf>
    <xf numFmtId="166" fontId="7" fillId="0" borderId="0" xfId="0" applyNumberFormat="1" applyFont="1" applyAlignment="1">
      <alignment horizontal="center" wrapText="1"/>
    </xf>
    <xf numFmtId="0" fontId="7" fillId="0" borderId="4" xfId="0" applyFont="1" applyBorder="1" applyAlignment="1">
      <alignment horizontal="center"/>
    </xf>
    <xf numFmtId="0" fontId="15" fillId="0" borderId="2" xfId="0" applyFont="1" applyBorder="1"/>
    <xf numFmtId="166" fontId="7" fillId="0" borderId="6" xfId="0" applyNumberFormat="1" applyFont="1" applyBorder="1" applyAlignment="1">
      <alignment horizontal="center"/>
    </xf>
    <xf numFmtId="0" fontId="7" fillId="0" borderId="5" xfId="0" applyFont="1" applyBorder="1" applyAlignment="1">
      <alignment horizontal="center"/>
    </xf>
    <xf numFmtId="166" fontId="7" fillId="0" borderId="0" xfId="0" applyNumberFormat="1" applyFont="1" applyAlignment="1">
      <alignment horizontal="center"/>
    </xf>
    <xf numFmtId="166" fontId="7" fillId="0" borderId="1" xfId="0" applyNumberFormat="1" applyFont="1" applyBorder="1" applyAlignment="1">
      <alignment horizontal="center"/>
    </xf>
    <xf numFmtId="0" fontId="7" fillId="0" borderId="20" xfId="0" applyFont="1" applyBorder="1" applyAlignment="1">
      <alignment horizontal="center"/>
    </xf>
    <xf numFmtId="0" fontId="7" fillId="0" borderId="21" xfId="0" applyFont="1" applyBorder="1" applyAlignment="1">
      <alignment horizontal="center"/>
    </xf>
    <xf numFmtId="0" fontId="7" fillId="0" borderId="6" xfId="0" applyFont="1" applyBorder="1" applyAlignment="1">
      <alignment horizontal="center" vertical="center"/>
    </xf>
    <xf numFmtId="0" fontId="0" fillId="0" borderId="0" xfId="0" applyAlignment="1">
      <alignment horizontal="center" vertical="center" wrapText="1"/>
    </xf>
    <xf numFmtId="0" fontId="0" fillId="0" borderId="19" xfId="0" applyBorder="1" applyAlignment="1">
      <alignment horizontal="center"/>
    </xf>
    <xf numFmtId="0" fontId="0" fillId="0" borderId="0" xfId="0" applyAlignment="1">
      <alignment horizontal="center"/>
    </xf>
    <xf numFmtId="0" fontId="0" fillId="0" borderId="0" xfId="0" applyAlignment="1">
      <alignment horizontal="left" wrapText="1" indent="1"/>
    </xf>
    <xf numFmtId="0" fontId="0" fillId="0" borderId="2" xfId="0" applyBorder="1"/>
    <xf numFmtId="0" fontId="0" fillId="0" borderId="0" xfId="0" applyAlignment="1">
      <alignment horizontal="left"/>
    </xf>
    <xf numFmtId="0" fontId="0" fillId="0" borderId="0" xfId="0" applyAlignment="1">
      <alignment horizontal="left" wrapText="1"/>
    </xf>
    <xf numFmtId="0" fontId="25" fillId="0" borderId="4" xfId="0" applyFont="1" applyBorder="1" applyAlignment="1">
      <alignment horizontal="right"/>
    </xf>
    <xf numFmtId="0" fontId="4" fillId="0" borderId="0" xfId="0" applyFont="1" applyAlignment="1">
      <alignment horizontal="left"/>
    </xf>
    <xf numFmtId="0" fontId="0" fillId="0" borderId="20"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30" fillId="0" borderId="0" xfId="0" applyFont="1" applyAlignment="1">
      <alignment horizontal="center"/>
    </xf>
    <xf numFmtId="0" fontId="20" fillId="7" borderId="8" xfId="0" applyFont="1" applyFill="1" applyBorder="1"/>
    <xf numFmtId="1" fontId="11" fillId="0" borderId="6" xfId="0" applyNumberFormat="1" applyFont="1" applyBorder="1"/>
    <xf numFmtId="0" fontId="10" fillId="0" borderId="6" xfId="0" applyFont="1" applyBorder="1"/>
    <xf numFmtId="0" fontId="7" fillId="0" borderId="4" xfId="0" quotePrefix="1" applyFont="1" applyBorder="1" applyAlignment="1">
      <alignment horizontal="right"/>
    </xf>
    <xf numFmtId="0" fontId="7" fillId="0" borderId="4" xfId="0" applyFont="1" applyBorder="1" applyAlignment="1">
      <alignment horizontal="right"/>
    </xf>
    <xf numFmtId="0" fontId="7" fillId="0" borderId="0" xfId="0" applyFont="1" applyAlignment="1">
      <alignment horizontal="left" indent="1"/>
    </xf>
    <xf numFmtId="49" fontId="7" fillId="0" borderId="4" xfId="0" applyNumberFormat="1" applyFont="1" applyBorder="1" applyAlignment="1">
      <alignment horizontal="right"/>
    </xf>
    <xf numFmtId="2" fontId="43" fillId="0" borderId="8" xfId="0" applyNumberFormat="1" applyFont="1" applyBorder="1" applyAlignment="1" applyProtection="1">
      <alignment horizontal="center"/>
      <protection locked="0"/>
    </xf>
    <xf numFmtId="164" fontId="10" fillId="0" borderId="0" xfId="0" applyNumberFormat="1" applyFont="1" applyAlignment="1">
      <alignment horizontal="right"/>
    </xf>
    <xf numFmtId="0" fontId="43" fillId="0" borderId="8" xfId="0" applyFont="1" applyBorder="1" applyAlignment="1" applyProtection="1">
      <alignment horizontal="center"/>
      <protection locked="0"/>
    </xf>
    <xf numFmtId="0" fontId="7" fillId="0" borderId="24" xfId="0" applyFont="1" applyBorder="1" applyAlignment="1">
      <alignment horizontal="center"/>
    </xf>
    <xf numFmtId="0" fontId="27" fillId="0" borderId="29" xfId="0" applyFont="1" applyBorder="1" applyAlignment="1">
      <alignment horizontal="center"/>
    </xf>
    <xf numFmtId="1" fontId="7" fillId="4" borderId="0" xfId="0" applyNumberFormat="1" applyFont="1" applyFill="1" applyProtection="1">
      <protection hidden="1"/>
    </xf>
    <xf numFmtId="0" fontId="7" fillId="4" borderId="4" xfId="0" applyFont="1" applyFill="1" applyBorder="1" applyAlignment="1" applyProtection="1">
      <alignment horizontal="right"/>
      <protection hidden="1"/>
    </xf>
    <xf numFmtId="1" fontId="0" fillId="4" borderId="10" xfId="0" applyNumberFormat="1" applyFill="1" applyBorder="1" applyAlignment="1" applyProtection="1">
      <alignment horizontal="center"/>
      <protection hidden="1"/>
    </xf>
    <xf numFmtId="0" fontId="7" fillId="4" borderId="0" xfId="0" quotePrefix="1" applyFont="1" applyFill="1" applyAlignment="1" applyProtection="1">
      <alignment horizontal="left"/>
      <protection hidden="1"/>
    </xf>
    <xf numFmtId="0" fontId="7" fillId="3" borderId="0" xfId="0" quotePrefix="1" applyFont="1" applyFill="1" applyAlignment="1" applyProtection="1">
      <alignment horizontal="left"/>
      <protection hidden="1"/>
    </xf>
    <xf numFmtId="0" fontId="0" fillId="4" borderId="20" xfId="0" applyFill="1" applyBorder="1" applyAlignment="1" applyProtection="1">
      <alignment horizontal="center"/>
      <protection hidden="1"/>
    </xf>
    <xf numFmtId="0" fontId="0" fillId="4" borderId="21" xfId="0" applyFill="1" applyBorder="1" applyAlignment="1" applyProtection="1">
      <alignment horizontal="center"/>
      <protection hidden="1"/>
    </xf>
    <xf numFmtId="1" fontId="0" fillId="4" borderId="22" xfId="0" applyNumberFormat="1" applyFill="1" applyBorder="1" applyAlignment="1" applyProtection="1">
      <alignment horizontal="center"/>
      <protection hidden="1"/>
    </xf>
    <xf numFmtId="0" fontId="7" fillId="4" borderId="5" xfId="0" applyFont="1" applyFill="1" applyBorder="1" applyProtection="1">
      <protection hidden="1"/>
    </xf>
    <xf numFmtId="0" fontId="7" fillId="4" borderId="1" xfId="0" applyFont="1" applyFill="1" applyBorder="1" applyProtection="1">
      <protection hidden="1"/>
    </xf>
    <xf numFmtId="0" fontId="9" fillId="4" borderId="0" xfId="0" applyFont="1" applyFill="1" applyAlignment="1" applyProtection="1">
      <alignment horizontal="right"/>
      <protection hidden="1"/>
    </xf>
    <xf numFmtId="0" fontId="11" fillId="0" borderId="2" xfId="0" quotePrefix="1" applyFont="1" applyBorder="1"/>
    <xf numFmtId="0" fontId="16" fillId="5" borderId="1" xfId="0" applyFont="1" applyFill="1" applyBorder="1"/>
    <xf numFmtId="0" fontId="7" fillId="9" borderId="0" xfId="0" applyFont="1" applyFill="1"/>
    <xf numFmtId="0" fontId="7" fillId="10" borderId="0" xfId="0" applyFont="1" applyFill="1" applyProtection="1">
      <protection hidden="1"/>
    </xf>
    <xf numFmtId="164" fontId="7" fillId="10" borderId="4" xfId="0" applyNumberFormat="1" applyFont="1" applyFill="1" applyBorder="1" applyAlignment="1" applyProtection="1">
      <alignment horizontal="center"/>
      <protection hidden="1"/>
    </xf>
    <xf numFmtId="0" fontId="7" fillId="10" borderId="2" xfId="0" applyFont="1" applyFill="1" applyBorder="1" applyProtection="1">
      <protection hidden="1"/>
    </xf>
    <xf numFmtId="0" fontId="7" fillId="9" borderId="0" xfId="0" applyFont="1" applyFill="1" applyProtection="1">
      <protection hidden="1"/>
    </xf>
    <xf numFmtId="0" fontId="7" fillId="9" borderId="0" xfId="0" applyFont="1" applyFill="1" applyAlignment="1">
      <alignment horizontal="center"/>
    </xf>
    <xf numFmtId="164" fontId="7" fillId="9" borderId="4" xfId="0" applyNumberFormat="1" applyFont="1" applyFill="1" applyBorder="1" applyAlignment="1" applyProtection="1">
      <alignment horizontal="center"/>
      <protection hidden="1"/>
    </xf>
    <xf numFmtId="0" fontId="7" fillId="9" borderId="2" xfId="0" applyFont="1" applyFill="1" applyBorder="1" applyProtection="1">
      <protection hidden="1"/>
    </xf>
    <xf numFmtId="0" fontId="10" fillId="0" borderId="0" xfId="0" applyFont="1" applyAlignment="1">
      <alignment horizontal="right"/>
    </xf>
    <xf numFmtId="0" fontId="27" fillId="0" borderId="7" xfId="0" applyFont="1" applyBorder="1" applyAlignment="1">
      <alignment horizontal="center"/>
    </xf>
    <xf numFmtId="0" fontId="0" fillId="4" borderId="6" xfId="0" applyFill="1" applyBorder="1" applyAlignment="1" applyProtection="1">
      <alignment horizontal="center"/>
      <protection hidden="1"/>
    </xf>
    <xf numFmtId="2" fontId="0" fillId="9" borderId="2" xfId="0" applyNumberFormat="1" applyFill="1" applyBorder="1" applyAlignment="1" applyProtection="1">
      <alignment horizontal="center"/>
      <protection hidden="1"/>
    </xf>
    <xf numFmtId="0" fontId="0" fillId="9" borderId="2" xfId="0" applyFill="1" applyBorder="1" applyAlignment="1" applyProtection="1">
      <alignment horizontal="center"/>
      <protection hidden="1"/>
    </xf>
    <xf numFmtId="0" fontId="0" fillId="4" borderId="9" xfId="0" applyFill="1" applyBorder="1" applyAlignment="1" applyProtection="1">
      <alignment horizontal="center"/>
      <protection hidden="1"/>
    </xf>
    <xf numFmtId="2" fontId="0" fillId="9" borderId="0" xfId="0" applyNumberFormat="1" applyFill="1" applyAlignment="1" applyProtection="1">
      <alignment horizontal="center"/>
      <protection hidden="1"/>
    </xf>
    <xf numFmtId="2" fontId="0" fillId="9" borderId="4" xfId="0" applyNumberFormat="1" applyFill="1" applyBorder="1" applyAlignment="1" applyProtection="1">
      <alignment horizontal="center"/>
      <protection hidden="1"/>
    </xf>
    <xf numFmtId="2" fontId="0" fillId="9" borderId="1" xfId="0" applyNumberFormat="1" applyFill="1" applyBorder="1" applyAlignment="1" applyProtection="1">
      <alignment horizontal="center"/>
      <protection hidden="1"/>
    </xf>
    <xf numFmtId="0" fontId="7" fillId="3" borderId="1" xfId="0" applyFont="1" applyFill="1" applyBorder="1" applyAlignment="1">
      <alignment horizontal="right"/>
    </xf>
    <xf numFmtId="2" fontId="0" fillId="9" borderId="2" xfId="0" quotePrefix="1" applyNumberFormat="1" applyFill="1" applyBorder="1" applyAlignment="1" applyProtection="1">
      <alignment horizontal="center"/>
      <protection hidden="1"/>
    </xf>
    <xf numFmtId="2" fontId="0" fillId="9" borderId="3" xfId="0" quotePrefix="1" applyNumberFormat="1" applyFill="1" applyBorder="1" applyAlignment="1" applyProtection="1">
      <alignment horizontal="center"/>
      <protection hidden="1"/>
    </xf>
    <xf numFmtId="167" fontId="36" fillId="0" borderId="8" xfId="0" applyNumberFormat="1" applyFont="1" applyBorder="1" applyAlignment="1" applyProtection="1">
      <alignment horizontal="center"/>
      <protection locked="0"/>
    </xf>
    <xf numFmtId="167" fontId="43" fillId="0" borderId="8" xfId="0" applyNumberFormat="1" applyFont="1" applyBorder="1" applyAlignment="1" applyProtection="1">
      <alignment horizontal="center"/>
      <protection locked="0"/>
    </xf>
    <xf numFmtId="167" fontId="49" fillId="0" borderId="0" xfId="0" applyNumberFormat="1" applyFont="1" applyAlignment="1">
      <alignment horizontal="center" vertical="center"/>
    </xf>
    <xf numFmtId="2" fontId="29" fillId="0" borderId="0" xfId="0" applyNumberFormat="1" applyFont="1" applyAlignment="1">
      <alignment horizontal="center"/>
    </xf>
    <xf numFmtId="164" fontId="29" fillId="0" borderId="0" xfId="0" applyNumberFormat="1" applyFont="1" applyAlignment="1">
      <alignment horizontal="center"/>
    </xf>
    <xf numFmtId="0" fontId="7" fillId="0" borderId="0" xfId="0" applyFont="1" applyAlignment="1">
      <alignment horizontal="center"/>
    </xf>
    <xf numFmtId="0" fontId="48" fillId="0" borderId="0" xfId="0" applyFont="1" applyAlignment="1">
      <alignment horizontal="center"/>
    </xf>
    <xf numFmtId="0" fontId="7" fillId="0" borderId="7" xfId="0" applyFont="1" applyBorder="1" applyAlignment="1">
      <alignment horizontal="center"/>
    </xf>
    <xf numFmtId="0" fontId="7" fillId="0" borderId="2" xfId="0" applyFont="1" applyBorder="1" applyAlignment="1">
      <alignment horizontal="center"/>
    </xf>
    <xf numFmtId="0" fontId="28" fillId="0" borderId="7" xfId="0" applyFont="1" applyBorder="1" applyAlignment="1">
      <alignment horizontal="center"/>
    </xf>
    <xf numFmtId="0" fontId="28" fillId="0" borderId="0" xfId="0" applyFont="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28" fillId="0" borderId="3" xfId="0" applyFont="1" applyBorder="1" applyAlignment="1">
      <alignment horizontal="center"/>
    </xf>
    <xf numFmtId="0" fontId="7" fillId="10" borderId="0" xfId="0" applyFont="1" applyFill="1" applyAlignment="1" applyProtection="1">
      <alignment horizontal="center"/>
      <protection hidden="1"/>
    </xf>
    <xf numFmtId="1" fontId="0" fillId="10" borderId="10" xfId="0" applyNumberFormat="1" applyFill="1" applyBorder="1" applyAlignment="1" applyProtection="1">
      <alignment horizontal="center"/>
      <protection hidden="1"/>
    </xf>
    <xf numFmtId="1" fontId="0" fillId="10" borderId="22" xfId="0" applyNumberFormat="1" applyFill="1" applyBorder="1" applyAlignment="1" applyProtection="1">
      <alignment horizontal="center"/>
      <protection hidden="1"/>
    </xf>
    <xf numFmtId="0" fontId="0" fillId="10" borderId="0" xfId="0" applyFill="1" applyAlignment="1" applyProtection="1">
      <alignment horizontal="center"/>
      <protection hidden="1"/>
    </xf>
    <xf numFmtId="1" fontId="0" fillId="10" borderId="0" xfId="0" applyNumberFormat="1" applyFill="1" applyAlignment="1" applyProtection="1">
      <alignment horizontal="center"/>
      <protection hidden="1"/>
    </xf>
    <xf numFmtId="0" fontId="0" fillId="10" borderId="0" xfId="0" applyFill="1" applyProtection="1">
      <protection hidden="1"/>
    </xf>
    <xf numFmtId="1" fontId="0" fillId="10" borderId="0" xfId="0" applyNumberFormat="1" applyFill="1" applyProtection="1">
      <protection hidden="1"/>
    </xf>
    <xf numFmtId="2" fontId="0" fillId="10" borderId="0" xfId="0" applyNumberFormat="1" applyFill="1" applyProtection="1">
      <protection hidden="1"/>
    </xf>
    <xf numFmtId="0" fontId="0" fillId="10" borderId="0" xfId="0" applyFill="1" applyAlignment="1" applyProtection="1">
      <alignment horizontal="right"/>
      <protection hidden="1"/>
    </xf>
    <xf numFmtId="1" fontId="0" fillId="9" borderId="20" xfId="0" applyNumberFormat="1" applyFill="1" applyBorder="1" applyAlignment="1" applyProtection="1">
      <alignment horizontal="center"/>
      <protection hidden="1"/>
    </xf>
    <xf numFmtId="1" fontId="0" fillId="9" borderId="19" xfId="0" applyNumberFormat="1" applyFill="1" applyBorder="1" applyAlignment="1" applyProtection="1">
      <alignment horizontal="center"/>
      <protection hidden="1"/>
    </xf>
    <xf numFmtId="0" fontId="7" fillId="10" borderId="1" xfId="0" applyFont="1" applyFill="1" applyBorder="1" applyProtection="1">
      <protection hidden="1"/>
    </xf>
    <xf numFmtId="1" fontId="0" fillId="10" borderId="1" xfId="0" applyNumberFormat="1" applyFill="1" applyBorder="1" applyProtection="1">
      <protection hidden="1"/>
    </xf>
    <xf numFmtId="2" fontId="0" fillId="10" borderId="1" xfId="0" applyNumberFormat="1" applyFill="1" applyBorder="1" applyProtection="1">
      <protection hidden="1"/>
    </xf>
    <xf numFmtId="0" fontId="7" fillId="9" borderId="21" xfId="0" applyFont="1" applyFill="1" applyBorder="1" applyAlignment="1">
      <alignment horizontal="center"/>
    </xf>
    <xf numFmtId="0" fontId="7" fillId="9" borderId="23" xfId="0" applyFont="1" applyFill="1" applyBorder="1" applyAlignment="1">
      <alignment horizontal="center"/>
    </xf>
    <xf numFmtId="0" fontId="7" fillId="10" borderId="6" xfId="0" applyFont="1" applyFill="1" applyBorder="1" applyAlignment="1" applyProtection="1">
      <alignment horizontal="center"/>
      <protection hidden="1"/>
    </xf>
    <xf numFmtId="0" fontId="0" fillId="10" borderId="6" xfId="0" applyFill="1" applyBorder="1" applyAlignment="1" applyProtection="1">
      <alignment horizontal="center"/>
      <protection hidden="1"/>
    </xf>
    <xf numFmtId="0" fontId="0" fillId="9" borderId="6" xfId="0" applyFill="1" applyBorder="1" applyAlignment="1" applyProtection="1">
      <alignment horizontal="center"/>
      <protection hidden="1"/>
    </xf>
    <xf numFmtId="0" fontId="0" fillId="9" borderId="7" xfId="0" applyFill="1" applyBorder="1" applyAlignment="1" applyProtection="1">
      <alignment horizontal="center"/>
      <protection hidden="1"/>
    </xf>
    <xf numFmtId="0" fontId="7" fillId="9" borderId="2" xfId="0" applyFont="1" applyFill="1" applyBorder="1" applyAlignment="1">
      <alignment horizontal="center"/>
    </xf>
    <xf numFmtId="0" fontId="0" fillId="9" borderId="0" xfId="0" applyFill="1" applyAlignment="1" applyProtection="1">
      <alignment horizontal="center"/>
      <protection hidden="1"/>
    </xf>
    <xf numFmtId="1" fontId="0" fillId="9" borderId="32" xfId="0" applyNumberFormat="1" applyFill="1" applyBorder="1" applyAlignment="1" applyProtection="1">
      <alignment horizontal="center"/>
      <protection hidden="1"/>
    </xf>
    <xf numFmtId="1" fontId="0" fillId="9" borderId="10" xfId="0" applyNumberFormat="1" applyFill="1" applyBorder="1" applyAlignment="1" applyProtection="1">
      <alignment horizontal="center"/>
      <protection hidden="1"/>
    </xf>
    <xf numFmtId="1" fontId="7" fillId="9" borderId="10" xfId="0" applyNumberFormat="1" applyFont="1" applyFill="1" applyBorder="1" applyAlignment="1">
      <alignment horizontal="center"/>
    </xf>
    <xf numFmtId="2" fontId="7" fillId="9" borderId="19" xfId="0" applyNumberFormat="1" applyFont="1" applyFill="1" applyBorder="1" applyAlignment="1">
      <alignment horizontal="center"/>
    </xf>
    <xf numFmtId="1" fontId="0" fillId="9" borderId="34" xfId="0" applyNumberFormat="1" applyFill="1" applyBorder="1" applyAlignment="1" applyProtection="1">
      <alignment horizontal="center"/>
      <protection hidden="1"/>
    </xf>
    <xf numFmtId="1" fontId="0" fillId="9" borderId="41" xfId="0" applyNumberFormat="1" applyFill="1" applyBorder="1" applyAlignment="1" applyProtection="1">
      <alignment horizontal="center"/>
      <protection hidden="1"/>
    </xf>
    <xf numFmtId="1" fontId="7" fillId="9" borderId="41" xfId="0" applyNumberFormat="1" applyFont="1" applyFill="1" applyBorder="1" applyAlignment="1">
      <alignment horizontal="center"/>
    </xf>
    <xf numFmtId="2" fontId="7" fillId="9" borderId="42" xfId="0" applyNumberFormat="1" applyFont="1" applyFill="1" applyBorder="1" applyAlignment="1">
      <alignment horizontal="center"/>
    </xf>
    <xf numFmtId="0" fontId="7" fillId="9" borderId="9" xfId="0" applyFont="1" applyFill="1" applyBorder="1"/>
    <xf numFmtId="0" fontId="7" fillId="9" borderId="6" xfId="0" applyFont="1" applyFill="1" applyBorder="1"/>
    <xf numFmtId="0" fontId="7" fillId="9" borderId="6" xfId="0" applyFont="1" applyFill="1" applyBorder="1" applyAlignment="1">
      <alignment horizontal="center"/>
    </xf>
    <xf numFmtId="0" fontId="7" fillId="9" borderId="7" xfId="0" applyFont="1" applyFill="1" applyBorder="1"/>
    <xf numFmtId="0" fontId="7" fillId="10" borderId="0" xfId="0" applyFont="1" applyFill="1" applyAlignment="1" applyProtection="1">
      <alignment horizontal="right"/>
      <protection hidden="1"/>
    </xf>
    <xf numFmtId="0" fontId="7" fillId="9" borderId="4" xfId="0" applyFont="1" applyFill="1" applyBorder="1"/>
    <xf numFmtId="2" fontId="7" fillId="9" borderId="2" xfId="0" applyNumberFormat="1" applyFont="1" applyFill="1" applyBorder="1"/>
    <xf numFmtId="0" fontId="0" fillId="10" borderId="1" xfId="0" applyFill="1" applyBorder="1" applyAlignment="1" applyProtection="1">
      <alignment horizontal="center"/>
      <protection hidden="1"/>
    </xf>
    <xf numFmtId="2" fontId="0" fillId="10" borderId="37" xfId="0" applyNumberFormat="1" applyFill="1" applyBorder="1" applyProtection="1">
      <protection hidden="1"/>
    </xf>
    <xf numFmtId="0" fontId="0" fillId="10" borderId="32" xfId="0" applyFill="1" applyBorder="1" applyProtection="1">
      <protection hidden="1"/>
    </xf>
    <xf numFmtId="167" fontId="0" fillId="10" borderId="26" xfId="0" applyNumberFormat="1" applyFill="1" applyBorder="1" applyAlignment="1" applyProtection="1">
      <alignment horizontal="center"/>
      <protection hidden="1"/>
    </xf>
    <xf numFmtId="0" fontId="0" fillId="10" borderId="27" xfId="0" applyFill="1" applyBorder="1" applyProtection="1">
      <protection hidden="1"/>
    </xf>
    <xf numFmtId="2" fontId="7" fillId="10" borderId="33" xfId="0" applyNumberFormat="1" applyFont="1" applyFill="1" applyBorder="1" applyProtection="1">
      <protection hidden="1"/>
    </xf>
    <xf numFmtId="2" fontId="7" fillId="10" borderId="26" xfId="0" applyNumberFormat="1" applyFont="1" applyFill="1" applyBorder="1" applyProtection="1">
      <protection hidden="1"/>
    </xf>
    <xf numFmtId="2" fontId="0" fillId="10" borderId="26" xfId="0" applyNumberFormat="1" applyFill="1" applyBorder="1" applyAlignment="1" applyProtection="1">
      <alignment horizontal="center"/>
      <protection hidden="1"/>
    </xf>
    <xf numFmtId="0" fontId="0" fillId="10" borderId="27" xfId="0" applyFill="1" applyBorder="1" applyAlignment="1" applyProtection="1">
      <alignment horizontal="left"/>
      <protection hidden="1"/>
    </xf>
    <xf numFmtId="0" fontId="7" fillId="10" borderId="33" xfId="0" applyFont="1" applyFill="1" applyBorder="1" applyProtection="1">
      <protection hidden="1"/>
    </xf>
    <xf numFmtId="1" fontId="0" fillId="10" borderId="37" xfId="0" applyNumberFormat="1" applyFill="1" applyBorder="1" applyProtection="1">
      <protection hidden="1"/>
    </xf>
    <xf numFmtId="164" fontId="0" fillId="10" borderId="26" xfId="0" applyNumberFormat="1" applyFill="1" applyBorder="1" applyAlignment="1" applyProtection="1">
      <alignment horizontal="center"/>
      <protection hidden="1"/>
    </xf>
    <xf numFmtId="1" fontId="7" fillId="10" borderId="33" xfId="0" applyNumberFormat="1" applyFont="1" applyFill="1" applyBorder="1" applyProtection="1">
      <protection hidden="1"/>
    </xf>
    <xf numFmtId="0" fontId="7" fillId="10" borderId="27" xfId="0" applyFont="1" applyFill="1" applyBorder="1" applyProtection="1">
      <protection hidden="1"/>
    </xf>
    <xf numFmtId="2" fontId="7" fillId="10" borderId="0" xfId="0" applyNumberFormat="1" applyFont="1" applyFill="1" applyProtection="1">
      <protection hidden="1"/>
    </xf>
    <xf numFmtId="1" fontId="0" fillId="10" borderId="26" xfId="0" applyNumberFormat="1" applyFill="1" applyBorder="1" applyAlignment="1" applyProtection="1">
      <alignment horizontal="right"/>
      <protection hidden="1"/>
    </xf>
    <xf numFmtId="0" fontId="7" fillId="10" borderId="4" xfId="0" applyFont="1" applyFill="1" applyBorder="1" applyProtection="1">
      <protection hidden="1"/>
    </xf>
    <xf numFmtId="2" fontId="0" fillId="10" borderId="26" xfId="0" applyNumberFormat="1" applyFill="1" applyBorder="1" applyAlignment="1" applyProtection="1">
      <alignment horizontal="right"/>
      <protection hidden="1"/>
    </xf>
    <xf numFmtId="0" fontId="7" fillId="9" borderId="1" xfId="0" applyFont="1" applyFill="1" applyBorder="1"/>
    <xf numFmtId="2" fontId="7" fillId="9" borderId="31" xfId="0" applyNumberFormat="1" applyFont="1" applyFill="1" applyBorder="1" applyAlignment="1">
      <alignment horizontal="right"/>
    </xf>
    <xf numFmtId="0" fontId="0" fillId="10" borderId="38" xfId="0" applyFill="1" applyBorder="1" applyProtection="1">
      <protection hidden="1"/>
    </xf>
    <xf numFmtId="1" fontId="0" fillId="10" borderId="0" xfId="0" applyNumberFormat="1" applyFill="1" applyAlignment="1" applyProtection="1">
      <alignment horizontal="right"/>
      <protection hidden="1"/>
    </xf>
    <xf numFmtId="1" fontId="7" fillId="10" borderId="4" xfId="0" applyNumberFormat="1" applyFont="1" applyFill="1" applyBorder="1" applyProtection="1">
      <protection hidden="1"/>
    </xf>
    <xf numFmtId="1" fontId="7" fillId="9" borderId="0" xfId="0" applyNumberFormat="1" applyFont="1" applyFill="1"/>
    <xf numFmtId="1" fontId="0" fillId="10" borderId="39" xfId="0" applyNumberFormat="1" applyFill="1" applyBorder="1" applyProtection="1">
      <protection hidden="1"/>
    </xf>
    <xf numFmtId="0" fontId="0" fillId="10" borderId="40" xfId="0" applyFill="1" applyBorder="1" applyProtection="1">
      <protection hidden="1"/>
    </xf>
    <xf numFmtId="164" fontId="0" fillId="10" borderId="31" xfId="0" applyNumberFormat="1" applyFill="1" applyBorder="1" applyAlignment="1" applyProtection="1">
      <alignment horizontal="right"/>
      <protection hidden="1"/>
    </xf>
    <xf numFmtId="0" fontId="7" fillId="10" borderId="38" xfId="0" applyFont="1" applyFill="1" applyBorder="1" applyProtection="1">
      <protection hidden="1"/>
    </xf>
    <xf numFmtId="164" fontId="0" fillId="10" borderId="0" xfId="0" applyNumberFormat="1" applyFill="1" applyAlignment="1" applyProtection="1">
      <alignment horizontal="right"/>
      <protection hidden="1"/>
    </xf>
    <xf numFmtId="0" fontId="7" fillId="10" borderId="12" xfId="0" applyFont="1" applyFill="1" applyBorder="1" applyProtection="1">
      <protection hidden="1"/>
    </xf>
    <xf numFmtId="0" fontId="7" fillId="10" borderId="43" xfId="0" applyFont="1" applyFill="1" applyBorder="1" applyProtection="1">
      <protection hidden="1"/>
    </xf>
    <xf numFmtId="0" fontId="47" fillId="0" borderId="4" xfId="0" applyFont="1" applyBorder="1" applyAlignment="1">
      <alignment horizontal="left" vertical="center" wrapText="1" indent="4"/>
    </xf>
    <xf numFmtId="0" fontId="60" fillId="0" borderId="0" xfId="0" applyFont="1" applyAlignment="1">
      <alignment horizontal="center"/>
    </xf>
    <xf numFmtId="0" fontId="45" fillId="0" borderId="0" xfId="0" applyFont="1" applyAlignment="1">
      <alignment horizontal="center"/>
    </xf>
    <xf numFmtId="1" fontId="0" fillId="0" borderId="2" xfId="0" applyNumberFormat="1" applyBorder="1"/>
    <xf numFmtId="0" fontId="0" fillId="0" borderId="4" xfId="0" applyBorder="1" applyAlignment="1">
      <alignment horizontal="right"/>
    </xf>
    <xf numFmtId="2" fontId="0" fillId="0" borderId="2" xfId="0" applyNumberFormat="1" applyBorder="1"/>
    <xf numFmtId="0" fontId="0" fillId="0" borderId="5" xfId="0" applyBorder="1" applyAlignment="1">
      <alignment horizontal="right"/>
    </xf>
    <xf numFmtId="0" fontId="20" fillId="0" borderId="12" xfId="0" applyFont="1" applyBorder="1" applyAlignment="1">
      <alignment horizontal="left" wrapText="1" indent="2"/>
    </xf>
    <xf numFmtId="0" fontId="7" fillId="0" borderId="13" xfId="0" applyFont="1" applyBorder="1"/>
    <xf numFmtId="0" fontId="32" fillId="0" borderId="0" xfId="0" applyFont="1" applyAlignment="1">
      <alignment horizontal="center" vertical="center"/>
    </xf>
    <xf numFmtId="0" fontId="11" fillId="0" borderId="0" xfId="0" quotePrefix="1" applyFont="1"/>
    <xf numFmtId="0" fontId="15" fillId="0" borderId="0" xfId="0" applyFont="1"/>
    <xf numFmtId="0" fontId="23" fillId="0" borderId="0" xfId="0" applyFont="1" applyAlignment="1">
      <alignment horizontal="center"/>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10" fontId="6" fillId="0" borderId="0" xfId="1" applyNumberFormat="1" applyFont="1" applyFill="1" applyBorder="1" applyAlignment="1" applyProtection="1">
      <alignment horizontal="center" vertical="center" wrapText="1"/>
    </xf>
    <xf numFmtId="2" fontId="6" fillId="0" borderId="0" xfId="0" applyNumberFormat="1" applyFont="1" applyAlignment="1">
      <alignment horizontal="center" wrapText="1"/>
    </xf>
    <xf numFmtId="0" fontId="6" fillId="0" borderId="0" xfId="0" applyFont="1" applyAlignment="1">
      <alignment horizontal="center" wrapText="1"/>
    </xf>
    <xf numFmtId="0" fontId="50" fillId="0" borderId="0" xfId="0" applyFont="1" applyAlignment="1">
      <alignment horizontal="center" vertical="center" wrapText="1"/>
    </xf>
    <xf numFmtId="2" fontId="11" fillId="0" borderId="0" xfId="0" applyNumberFormat="1" applyFont="1"/>
    <xf numFmtId="0" fontId="7" fillId="9" borderId="4" xfId="0" applyFont="1" applyFill="1" applyBorder="1" applyProtection="1">
      <protection hidden="1"/>
    </xf>
    <xf numFmtId="2" fontId="7" fillId="4" borderId="1" xfId="0" applyNumberFormat="1" applyFont="1" applyFill="1" applyBorder="1" applyProtection="1">
      <protection hidden="1"/>
    </xf>
    <xf numFmtId="2" fontId="11" fillId="0" borderId="2" xfId="0" applyNumberFormat="1" applyFont="1" applyBorder="1"/>
    <xf numFmtId="1" fontId="10" fillId="0" borderId="1" xfId="0" applyNumberFormat="1" applyFont="1" applyBorder="1" applyAlignment="1">
      <alignment horizontal="center"/>
    </xf>
    <xf numFmtId="0" fontId="62" fillId="0" borderId="1" xfId="0" applyFont="1" applyBorder="1" applyAlignment="1">
      <alignment horizontal="right"/>
    </xf>
    <xf numFmtId="165" fontId="7" fillId="9" borderId="0" xfId="0" applyNumberFormat="1" applyFont="1" applyFill="1" applyProtection="1">
      <protection hidden="1"/>
    </xf>
    <xf numFmtId="166" fontId="7" fillId="4" borderId="0" xfId="0" applyNumberFormat="1" applyFont="1" applyFill="1" applyProtection="1">
      <protection hidden="1"/>
    </xf>
    <xf numFmtId="0" fontId="63" fillId="4" borderId="4" xfId="0" applyFont="1" applyFill="1" applyBorder="1" applyProtection="1">
      <protection hidden="1"/>
    </xf>
    <xf numFmtId="2" fontId="7" fillId="4" borderId="1" xfId="0" quotePrefix="1" applyNumberFormat="1" applyFont="1" applyFill="1" applyBorder="1" applyProtection="1">
      <protection hidden="1"/>
    </xf>
    <xf numFmtId="0" fontId="20" fillId="0" borderId="0" xfId="0" applyFont="1"/>
    <xf numFmtId="2" fontId="7" fillId="0" borderId="2" xfId="0" applyNumberFormat="1" applyFont="1" applyBorder="1"/>
    <xf numFmtId="2" fontId="19" fillId="0" borderId="0" xfId="0" applyNumberFormat="1" applyFont="1" applyAlignment="1">
      <alignment horizontal="center"/>
    </xf>
    <xf numFmtId="0" fontId="20" fillId="0" borderId="0" xfId="0" applyFont="1" applyAlignment="1">
      <alignment horizontal="center" vertical="center"/>
    </xf>
    <xf numFmtId="0" fontId="7" fillId="3" borderId="14" xfId="0" applyFont="1" applyFill="1" applyBorder="1"/>
    <xf numFmtId="0" fontId="7" fillId="3" borderId="16" xfId="0" applyFont="1" applyFill="1" applyBorder="1"/>
    <xf numFmtId="0" fontId="7" fillId="0" borderId="0" xfId="0" applyFont="1" applyAlignment="1">
      <alignment vertical="center"/>
    </xf>
    <xf numFmtId="0" fontId="20" fillId="0" borderId="0" xfId="0" applyFont="1" applyAlignment="1">
      <alignment vertical="center"/>
    </xf>
    <xf numFmtId="0" fontId="43" fillId="0" borderId="8" xfId="0" applyFont="1" applyBorder="1" applyAlignment="1" applyProtection="1">
      <alignment horizontal="center" vertical="center"/>
      <protection locked="0"/>
    </xf>
    <xf numFmtId="0" fontId="7" fillId="4" borderId="10" xfId="0" applyFont="1" applyFill="1" applyBorder="1" applyAlignment="1" applyProtection="1">
      <alignment horizontal="center"/>
      <protection hidden="1"/>
    </xf>
    <xf numFmtId="2" fontId="7" fillId="4" borderId="10" xfId="0" applyNumberFormat="1" applyFont="1" applyFill="1" applyBorder="1" applyAlignment="1" applyProtection="1">
      <alignment horizontal="center"/>
      <protection hidden="1"/>
    </xf>
    <xf numFmtId="0" fontId="60" fillId="0" borderId="0" xfId="0" applyFont="1"/>
    <xf numFmtId="0" fontId="61" fillId="0" borderId="0" xfId="0" applyFont="1" applyAlignment="1">
      <alignment horizontal="center" vertical="center"/>
    </xf>
    <xf numFmtId="0" fontId="67" fillId="0" borderId="0" xfId="0" applyFont="1"/>
    <xf numFmtId="0" fontId="7" fillId="3" borderId="44" xfId="0" applyFont="1" applyFill="1" applyBorder="1"/>
    <xf numFmtId="0" fontId="7" fillId="3" borderId="45" xfId="0" applyFont="1" applyFill="1" applyBorder="1"/>
    <xf numFmtId="0" fontId="18" fillId="3" borderId="45" xfId="0" applyFont="1" applyFill="1" applyBorder="1"/>
    <xf numFmtId="0" fontId="7" fillId="3" borderId="46" xfId="0" applyFont="1" applyFill="1" applyBorder="1"/>
    <xf numFmtId="0" fontId="65" fillId="3" borderId="0" xfId="0" applyFont="1" applyFill="1"/>
    <xf numFmtId="167" fontId="7" fillId="3" borderId="0" xfId="0" applyNumberFormat="1" applyFont="1" applyFill="1"/>
    <xf numFmtId="164" fontId="7" fillId="3" borderId="0" xfId="0" applyNumberFormat="1" applyFont="1" applyFill="1"/>
    <xf numFmtId="0" fontId="18" fillId="3" borderId="28" xfId="0" applyFont="1" applyFill="1" applyBorder="1"/>
    <xf numFmtId="1" fontId="7" fillId="3" borderId="17" xfId="0" applyNumberFormat="1" applyFont="1" applyFill="1" applyBorder="1"/>
    <xf numFmtId="0" fontId="7" fillId="3" borderId="17" xfId="0" applyFont="1" applyFill="1" applyBorder="1"/>
    <xf numFmtId="0" fontId="18" fillId="3" borderId="0" xfId="0" applyFont="1" applyFill="1"/>
    <xf numFmtId="0" fontId="63" fillId="3" borderId="0" xfId="0" applyFont="1" applyFill="1"/>
    <xf numFmtId="167" fontId="10" fillId="0" borderId="0" xfId="0" applyNumberFormat="1" applyFont="1"/>
    <xf numFmtId="0" fontId="50" fillId="0" borderId="13" xfId="0" applyFont="1" applyBorder="1" applyAlignment="1">
      <alignment horizontal="center"/>
    </xf>
    <xf numFmtId="0" fontId="68" fillId="0" borderId="13" xfId="0" applyFont="1" applyBorder="1" applyAlignment="1">
      <alignment horizontal="center"/>
    </xf>
    <xf numFmtId="0" fontId="69" fillId="0" borderId="13" xfId="0" applyFont="1" applyBorder="1" applyAlignment="1">
      <alignment horizontal="center" wrapText="1"/>
    </xf>
    <xf numFmtId="0" fontId="36" fillId="0" borderId="14" xfId="0" applyFont="1" applyBorder="1" applyAlignment="1" applyProtection="1">
      <alignment horizontal="center" vertical="center"/>
      <protection locked="0"/>
    </xf>
    <xf numFmtId="0" fontId="7" fillId="0" borderId="0" xfId="0" applyFont="1" applyAlignment="1">
      <alignment wrapText="1"/>
    </xf>
    <xf numFmtId="0" fontId="18" fillId="0" borderId="9" xfId="0" applyFont="1" applyBorder="1" applyAlignment="1">
      <alignment horizontal="left"/>
    </xf>
    <xf numFmtId="0" fontId="18" fillId="0" borderId="5" xfId="0" applyFont="1" applyBorder="1" applyAlignment="1">
      <alignment horizontal="left" indent="1"/>
    </xf>
    <xf numFmtId="0" fontId="18" fillId="0" borderId="0" xfId="0" applyFont="1" applyAlignment="1">
      <alignment horizontal="left" indent="1"/>
    </xf>
    <xf numFmtId="0" fontId="72" fillId="0" borderId="0" xfId="0" applyFont="1"/>
    <xf numFmtId="0" fontId="72" fillId="0" borderId="0" xfId="0" applyFont="1" applyAlignment="1">
      <alignment horizontal="left" indent="1"/>
    </xf>
    <xf numFmtId="2" fontId="10" fillId="0" borderId="0" xfId="0" applyNumberFormat="1" applyFont="1" applyAlignment="1">
      <alignment vertical="top"/>
    </xf>
    <xf numFmtId="0" fontId="11" fillId="0" borderId="2" xfId="0" applyFont="1" applyBorder="1" applyAlignment="1">
      <alignment vertical="top" wrapText="1"/>
    </xf>
    <xf numFmtId="0" fontId="7" fillId="0" borderId="6" xfId="0" applyFont="1" applyBorder="1" applyAlignment="1">
      <alignment horizontal="center"/>
    </xf>
    <xf numFmtId="1" fontId="22" fillId="14" borderId="1" xfId="0" applyNumberFormat="1" applyFont="1" applyFill="1" applyBorder="1" applyAlignment="1">
      <alignment horizontal="right"/>
    </xf>
    <xf numFmtId="0" fontId="7" fillId="14" borderId="5" xfId="0" applyFont="1" applyFill="1" applyBorder="1"/>
    <xf numFmtId="0" fontId="7" fillId="14" borderId="1" xfId="0" applyFont="1" applyFill="1" applyBorder="1"/>
    <xf numFmtId="0" fontId="7" fillId="14" borderId="3" xfId="0" applyFont="1" applyFill="1" applyBorder="1"/>
    <xf numFmtId="0" fontId="46" fillId="0" borderId="4" xfId="0" applyFont="1" applyBorder="1" applyAlignment="1">
      <alignment horizontal="left" wrapText="1" indent="3"/>
    </xf>
    <xf numFmtId="2" fontId="35" fillId="0" borderId="0" xfId="0" applyNumberFormat="1" applyFont="1" applyAlignment="1">
      <alignment horizontal="center" vertical="center" wrapText="1"/>
    </xf>
    <xf numFmtId="2" fontId="36" fillId="0" borderId="8" xfId="0" applyNumberFormat="1" applyFont="1" applyBorder="1" applyAlignment="1" applyProtection="1">
      <alignment horizontal="center" vertical="center"/>
      <protection locked="0"/>
    </xf>
    <xf numFmtId="0" fontId="18" fillId="0" borderId="4" xfId="0" applyFont="1" applyBorder="1" applyAlignment="1">
      <alignment horizontal="right" wrapText="1" indent="1"/>
    </xf>
    <xf numFmtId="0" fontId="40" fillId="0" borderId="4" xfId="0" applyFont="1" applyBorder="1" applyAlignment="1">
      <alignment horizontal="left" wrapText="1" indent="1"/>
    </xf>
    <xf numFmtId="0" fontId="81" fillId="0" borderId="4" xfId="0" applyFont="1" applyBorder="1" applyAlignment="1">
      <alignment horizontal="left" wrapText="1" indent="3"/>
    </xf>
    <xf numFmtId="0" fontId="79" fillId="0" borderId="4" xfId="0" applyFont="1" applyBorder="1" applyAlignment="1">
      <alignment horizontal="left" wrapText="1" indent="2"/>
    </xf>
    <xf numFmtId="0" fontId="81" fillId="0" borderId="5" xfId="0" applyFont="1" applyBorder="1" applyAlignment="1">
      <alignment horizontal="left" wrapText="1" indent="3"/>
    </xf>
    <xf numFmtId="0" fontId="85" fillId="0" borderId="4" xfId="0" applyFont="1" applyBorder="1" applyAlignment="1">
      <alignment horizontal="right" wrapText="1" indent="1"/>
    </xf>
    <xf numFmtId="0" fontId="20" fillId="0" borderId="4" xfId="0" applyFont="1" applyBorder="1" applyAlignment="1">
      <alignment horizontal="left" wrapText="1" indent="2"/>
    </xf>
    <xf numFmtId="0" fontId="31" fillId="0" borderId="0" xfId="0" applyFont="1" applyAlignment="1">
      <alignment horizontal="center"/>
    </xf>
    <xf numFmtId="0" fontId="34" fillId="0" borderId="0" xfId="0" applyFont="1" applyAlignment="1">
      <alignment horizontal="center"/>
    </xf>
    <xf numFmtId="0" fontId="7" fillId="0" borderId="0" xfId="0" applyFont="1" applyAlignment="1">
      <alignment horizontal="right" wrapText="1" indent="1"/>
    </xf>
    <xf numFmtId="0" fontId="20" fillId="7" borderId="8" xfId="0" applyFont="1" applyFill="1" applyBorder="1" applyAlignment="1">
      <alignment horizontal="left" wrapText="1"/>
    </xf>
    <xf numFmtId="0" fontId="79" fillId="0" borderId="4" xfId="0" applyFont="1" applyBorder="1" applyAlignment="1">
      <alignment horizontal="left" wrapText="1" indent="3"/>
    </xf>
    <xf numFmtId="0" fontId="40" fillId="0" borderId="4" xfId="0" applyFont="1" applyBorder="1" applyAlignment="1">
      <alignment horizontal="left" wrapText="1" indent="2"/>
    </xf>
    <xf numFmtId="2" fontId="7" fillId="0" borderId="2" xfId="0" applyNumberFormat="1" applyFont="1" applyBorder="1" applyAlignment="1">
      <alignment wrapText="1"/>
    </xf>
    <xf numFmtId="0" fontId="81" fillId="0" borderId="4" xfId="0" applyFont="1" applyBorder="1" applyAlignment="1">
      <alignment horizontal="left" wrapText="1" indent="6"/>
    </xf>
    <xf numFmtId="0" fontId="87" fillId="0" borderId="4" xfId="0" applyFont="1" applyBorder="1" applyAlignment="1">
      <alignment horizontal="right"/>
    </xf>
    <xf numFmtId="0" fontId="87" fillId="0" borderId="5" xfId="0" applyFont="1" applyBorder="1" applyAlignment="1">
      <alignment horizontal="right"/>
    </xf>
    <xf numFmtId="0" fontId="87" fillId="0" borderId="9" xfId="0" applyFont="1" applyBorder="1" applyAlignment="1">
      <alignment horizontal="right" vertical="center" wrapText="1"/>
    </xf>
    <xf numFmtId="0" fontId="87" fillId="0" borderId="4" xfId="0" applyFont="1" applyBorder="1" applyAlignment="1">
      <alignment horizontal="right" wrapText="1"/>
    </xf>
    <xf numFmtId="0" fontId="87" fillId="0" borderId="5" xfId="0" applyFont="1" applyBorder="1" applyAlignment="1">
      <alignment horizontal="right" vertical="center" wrapText="1"/>
    </xf>
    <xf numFmtId="0" fontId="87" fillId="0" borderId="12" xfId="0" applyFont="1" applyBorder="1" applyAlignment="1">
      <alignment horizontal="right" vertical="center" wrapText="1"/>
    </xf>
    <xf numFmtId="0" fontId="67" fillId="0" borderId="12" xfId="0" applyFont="1" applyBorder="1" applyAlignment="1">
      <alignment horizontal="right" wrapText="1"/>
    </xf>
    <xf numFmtId="0" fontId="6" fillId="0" borderId="13" xfId="0" applyFont="1" applyBorder="1" applyAlignment="1">
      <alignment horizontal="right"/>
    </xf>
    <xf numFmtId="2" fontId="18" fillId="0" borderId="0" xfId="0" applyNumberFormat="1" applyFont="1" applyAlignment="1">
      <alignment horizontal="left" indent="1"/>
    </xf>
    <xf numFmtId="0" fontId="18" fillId="0" borderId="1" xfId="0" applyFont="1" applyBorder="1" applyAlignment="1">
      <alignment horizontal="left" indent="1"/>
    </xf>
    <xf numFmtId="2" fontId="38" fillId="0" borderId="2" xfId="0" applyNumberFormat="1" applyFont="1" applyBorder="1" applyAlignment="1">
      <alignment wrapText="1"/>
    </xf>
    <xf numFmtId="0" fontId="66" fillId="0" borderId="8" xfId="0" applyFont="1" applyBorder="1" applyAlignment="1" applyProtection="1">
      <alignment horizontal="center" vertical="center"/>
      <protection locked="0"/>
    </xf>
    <xf numFmtId="0" fontId="44" fillId="0" borderId="4" xfId="0" applyFont="1" applyBorder="1"/>
    <xf numFmtId="1" fontId="22" fillId="0" borderId="0" xfId="0" applyNumberFormat="1" applyFont="1" applyAlignment="1">
      <alignment horizontal="center"/>
    </xf>
    <xf numFmtId="0" fontId="20" fillId="0" borderId="4" xfId="0" applyFont="1" applyBorder="1" applyAlignment="1">
      <alignment horizontal="left" indent="1"/>
    </xf>
    <xf numFmtId="0" fontId="9" fillId="0" borderId="0" xfId="0" applyFont="1"/>
    <xf numFmtId="0" fontId="7" fillId="0" borderId="0" xfId="0" applyFont="1" applyProtection="1">
      <protection hidden="1"/>
    </xf>
    <xf numFmtId="0" fontId="7" fillId="0" borderId="0" xfId="0" applyFont="1" applyAlignment="1">
      <alignment horizontal="center" vertical="center"/>
    </xf>
    <xf numFmtId="1" fontId="11" fillId="0" borderId="0" xfId="0" applyNumberFormat="1" applyFont="1"/>
    <xf numFmtId="0" fontId="10" fillId="0" borderId="0" xfId="0" applyFont="1"/>
    <xf numFmtId="0" fontId="20" fillId="0" borderId="4" xfId="0" applyFont="1" applyBorder="1"/>
    <xf numFmtId="0" fontId="81" fillId="0" borderId="0" xfId="0" applyFont="1" applyAlignment="1">
      <alignment wrapText="1"/>
    </xf>
    <xf numFmtId="0" fontId="81" fillId="0" borderId="4" xfId="0" applyFont="1" applyBorder="1"/>
    <xf numFmtId="0" fontId="81" fillId="0" borderId="0" xfId="0" applyFont="1"/>
    <xf numFmtId="0" fontId="81" fillId="0" borderId="2" xfId="0" applyFont="1" applyBorder="1"/>
    <xf numFmtId="0" fontId="91" fillId="0" borderId="0" xfId="0" applyFont="1" applyAlignment="1">
      <alignment horizontal="center" vertical="center"/>
    </xf>
    <xf numFmtId="0" fontId="91" fillId="0" borderId="0" xfId="0" applyFont="1" applyAlignment="1">
      <alignment horizontal="center"/>
    </xf>
    <xf numFmtId="0" fontId="92" fillId="0" borderId="0" xfId="0" applyFont="1"/>
    <xf numFmtId="0" fontId="19" fillId="0" borderId="0" xfId="0" applyFont="1" applyAlignment="1">
      <alignment horizontal="center"/>
    </xf>
    <xf numFmtId="0" fontId="90" fillId="0" borderId="0" xfId="0" applyFont="1" applyAlignment="1">
      <alignment horizontal="center"/>
    </xf>
    <xf numFmtId="0" fontId="19" fillId="0" borderId="1" xfId="0" applyFont="1" applyBorder="1" applyAlignment="1">
      <alignment horizontal="center"/>
    </xf>
    <xf numFmtId="0" fontId="94" fillId="0" borderId="0" xfId="0" applyFont="1" applyAlignment="1">
      <alignment horizontal="center"/>
    </xf>
    <xf numFmtId="0" fontId="93" fillId="0" borderId="0" xfId="0" applyFont="1" applyAlignment="1">
      <alignment horizontal="center"/>
    </xf>
    <xf numFmtId="0" fontId="19" fillId="6" borderId="11" xfId="0" applyFont="1" applyFill="1" applyBorder="1" applyAlignment="1">
      <alignment horizontal="center" vertical="center"/>
    </xf>
    <xf numFmtId="0" fontId="7" fillId="0" borderId="12" xfId="0" applyFont="1" applyBorder="1" applyAlignment="1">
      <alignment vertical="center"/>
    </xf>
    <xf numFmtId="0" fontId="50" fillId="0" borderId="2" xfId="0" applyFont="1" applyBorder="1" applyAlignment="1">
      <alignment horizontal="center" vertical="center" wrapText="1"/>
    </xf>
    <xf numFmtId="0" fontId="62" fillId="0" borderId="0" xfId="0" applyFont="1" applyAlignment="1">
      <alignment horizontal="right"/>
    </xf>
    <xf numFmtId="0" fontId="6" fillId="0" borderId="1" xfId="0" applyFont="1" applyBorder="1" applyAlignment="1">
      <alignment horizontal="center"/>
    </xf>
    <xf numFmtId="0" fontId="8" fillId="0" borderId="6" xfId="0" applyFont="1" applyBorder="1" applyAlignment="1">
      <alignment horizontal="right"/>
    </xf>
    <xf numFmtId="0" fontId="6" fillId="0" borderId="6" xfId="0" applyFont="1" applyBorder="1" applyAlignment="1">
      <alignment horizontal="center"/>
    </xf>
    <xf numFmtId="2" fontId="31" fillId="0" borderId="6" xfId="0" applyNumberFormat="1" applyFont="1" applyBorder="1"/>
    <xf numFmtId="0" fontId="8" fillId="0" borderId="6" xfId="0" applyFont="1" applyBorder="1"/>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7" fillId="0" borderId="1" xfId="0" applyFont="1" applyBorder="1" applyAlignment="1">
      <alignment vertical="center"/>
    </xf>
    <xf numFmtId="0" fontId="65" fillId="0" borderId="1" xfId="0" applyFont="1" applyBorder="1" applyAlignment="1">
      <alignment horizontal="right" vertical="center"/>
    </xf>
    <xf numFmtId="0" fontId="6" fillId="0" borderId="1" xfId="0" applyFont="1" applyBorder="1" applyAlignment="1">
      <alignment horizontal="center" vertical="center"/>
    </xf>
    <xf numFmtId="0" fontId="65" fillId="0" borderId="3" xfId="0" applyFont="1" applyBorder="1" applyAlignment="1">
      <alignment vertical="center" wrapText="1"/>
    </xf>
    <xf numFmtId="0" fontId="20" fillId="0" borderId="8" xfId="0" applyFont="1" applyBorder="1" applyAlignment="1" applyProtection="1">
      <alignment horizontal="center"/>
      <protection locked="0"/>
    </xf>
    <xf numFmtId="2" fontId="20" fillId="0" borderId="8" xfId="0" applyNumberFormat="1" applyFont="1" applyBorder="1" applyAlignment="1" applyProtection="1">
      <alignment horizontal="center"/>
      <protection locked="0"/>
    </xf>
    <xf numFmtId="2" fontId="38" fillId="0" borderId="8" xfId="0" applyNumberFormat="1" applyFont="1" applyBorder="1" applyAlignment="1" applyProtection="1">
      <alignment horizontal="center"/>
      <protection locked="0"/>
    </xf>
    <xf numFmtId="1" fontId="0" fillId="0" borderId="3" xfId="0" applyNumberFormat="1" applyBorder="1"/>
    <xf numFmtId="2" fontId="10" fillId="0" borderId="1" xfId="0" applyNumberFormat="1" applyFont="1" applyBorder="1" applyAlignment="1">
      <alignment horizontal="right"/>
    </xf>
    <xf numFmtId="0" fontId="7" fillId="0" borderId="0" xfId="0" applyFont="1" applyAlignment="1">
      <alignment vertical="top"/>
    </xf>
    <xf numFmtId="0" fontId="16" fillId="0" borderId="0" xfId="0" applyFont="1" applyAlignment="1">
      <alignment horizontal="right" vertical="top"/>
    </xf>
    <xf numFmtId="0" fontId="6" fillId="0" borderId="0" xfId="0" applyFont="1" applyAlignment="1">
      <alignment horizontal="center" vertical="top"/>
    </xf>
    <xf numFmtId="0" fontId="16" fillId="0" borderId="0" xfId="0" applyFont="1" applyAlignment="1">
      <alignment vertical="top"/>
    </xf>
    <xf numFmtId="0" fontId="11" fillId="0" borderId="0" xfId="0" applyFont="1" applyAlignment="1">
      <alignment horizontal="right" vertical="top"/>
    </xf>
    <xf numFmtId="0" fontId="51" fillId="0" borderId="0" xfId="0" applyFont="1" applyAlignment="1">
      <alignment horizontal="center" vertical="top"/>
    </xf>
    <xf numFmtId="164" fontId="62" fillId="0" borderId="0" xfId="0" applyNumberFormat="1" applyFont="1" applyAlignment="1">
      <alignment horizontal="right" vertical="top"/>
    </xf>
    <xf numFmtId="0" fontId="11" fillId="0" borderId="0" xfId="0" applyFont="1" applyAlignment="1">
      <alignment vertical="top"/>
    </xf>
    <xf numFmtId="2" fontId="66" fillId="0" borderId="1" xfId="0" applyNumberFormat="1" applyFont="1" applyBorder="1" applyAlignment="1">
      <alignment vertical="top"/>
    </xf>
    <xf numFmtId="0" fontId="65" fillId="0" borderId="1" xfId="0" applyFont="1" applyBorder="1" applyAlignment="1">
      <alignment vertical="top"/>
    </xf>
    <xf numFmtId="0" fontId="24" fillId="0" borderId="0" xfId="0" applyFont="1" applyAlignment="1">
      <alignment horizontal="center"/>
    </xf>
    <xf numFmtId="0" fontId="7" fillId="0" borderId="47" xfId="0" applyFont="1" applyBorder="1" applyProtection="1">
      <protection hidden="1"/>
    </xf>
    <xf numFmtId="0" fontId="8" fillId="0" borderId="48" xfId="0" applyFont="1" applyBorder="1" applyProtection="1">
      <protection hidden="1"/>
    </xf>
    <xf numFmtId="0" fontId="7" fillId="0" borderId="48" xfId="0" applyFont="1" applyBorder="1" applyProtection="1">
      <protection hidden="1"/>
    </xf>
    <xf numFmtId="164" fontId="12" fillId="0" borderId="48" xfId="0" applyNumberFormat="1" applyFont="1" applyBorder="1" applyProtection="1">
      <protection hidden="1"/>
    </xf>
    <xf numFmtId="0" fontId="7" fillId="0" borderId="49" xfId="0" applyFont="1" applyBorder="1" applyProtection="1">
      <protection hidden="1"/>
    </xf>
    <xf numFmtId="0" fontId="6" fillId="0" borderId="20" xfId="0" applyFont="1" applyBorder="1" applyAlignment="1" applyProtection="1">
      <alignment horizontal="center"/>
      <protection hidden="1"/>
    </xf>
    <xf numFmtId="0" fontId="6" fillId="0" borderId="10" xfId="0" applyFont="1" applyBorder="1" applyAlignment="1" applyProtection="1">
      <alignment horizontal="center"/>
      <protection hidden="1"/>
    </xf>
    <xf numFmtId="164" fontId="6" fillId="0" borderId="10" xfId="0" applyNumberFormat="1" applyFont="1" applyBorder="1" applyAlignment="1" applyProtection="1">
      <alignment horizontal="center"/>
      <protection hidden="1"/>
    </xf>
    <xf numFmtId="0" fontId="6" fillId="0" borderId="19" xfId="0" applyFont="1" applyBorder="1" applyProtection="1">
      <protection hidden="1"/>
    </xf>
    <xf numFmtId="0" fontId="7" fillId="0" borderId="19" xfId="0" applyFont="1" applyBorder="1" applyAlignment="1" applyProtection="1">
      <alignment horizontal="right"/>
      <protection hidden="1"/>
    </xf>
    <xf numFmtId="0" fontId="7" fillId="0" borderId="20" xfId="0" applyFont="1" applyBorder="1" applyProtection="1">
      <protection hidden="1"/>
    </xf>
    <xf numFmtId="2" fontId="7" fillId="0" borderId="10" xfId="0" applyNumberFormat="1" applyFont="1" applyBorder="1" applyAlignment="1" applyProtection="1">
      <alignment horizontal="center"/>
      <protection hidden="1"/>
    </xf>
    <xf numFmtId="0" fontId="7" fillId="0" borderId="10" xfId="0" applyFont="1" applyBorder="1" applyAlignment="1" applyProtection="1">
      <alignment horizontal="center"/>
      <protection hidden="1"/>
    </xf>
    <xf numFmtId="1" fontId="7" fillId="0" borderId="10" xfId="0" applyNumberFormat="1" applyFont="1" applyBorder="1" applyAlignment="1" applyProtection="1">
      <alignment horizontal="center"/>
      <protection hidden="1"/>
    </xf>
    <xf numFmtId="167" fontId="7" fillId="0" borderId="10" xfId="0" applyNumberFormat="1" applyFont="1" applyBorder="1" applyAlignment="1" applyProtection="1">
      <alignment horizontal="center"/>
      <protection hidden="1"/>
    </xf>
    <xf numFmtId="0" fontId="95" fillId="0" borderId="19" xfId="0" applyFont="1" applyBorder="1" applyAlignment="1" applyProtection="1">
      <alignment horizontal="left"/>
      <protection hidden="1"/>
    </xf>
    <xf numFmtId="2" fontId="7" fillId="0" borderId="10" xfId="0" quotePrefix="1" applyNumberFormat="1" applyFont="1" applyBorder="1" applyAlignment="1" applyProtection="1">
      <alignment horizontal="center"/>
      <protection hidden="1"/>
    </xf>
    <xf numFmtId="164" fontId="7" fillId="0" borderId="10" xfId="0" applyNumberFormat="1" applyFont="1" applyBorder="1" applyAlignment="1" applyProtection="1">
      <alignment horizontal="center"/>
      <protection hidden="1"/>
    </xf>
    <xf numFmtId="0" fontId="7" fillId="0" borderId="21" xfId="0" applyFont="1" applyBorder="1" applyProtection="1">
      <protection hidden="1"/>
    </xf>
    <xf numFmtId="167" fontId="7" fillId="0" borderId="22" xfId="0" applyNumberFormat="1" applyFont="1" applyBorder="1" applyAlignment="1" applyProtection="1">
      <alignment horizontal="center"/>
      <protection hidden="1"/>
    </xf>
    <xf numFmtId="0" fontId="7" fillId="0" borderId="22" xfId="0" applyFont="1" applyBorder="1" applyAlignment="1" applyProtection="1">
      <alignment horizontal="center"/>
      <protection hidden="1"/>
    </xf>
    <xf numFmtId="1" fontId="7" fillId="0" borderId="22" xfId="0" applyNumberFormat="1" applyFont="1" applyBorder="1" applyAlignment="1" applyProtection="1">
      <alignment horizontal="center"/>
      <protection hidden="1"/>
    </xf>
    <xf numFmtId="2" fontId="7" fillId="0" borderId="22" xfId="0" applyNumberFormat="1" applyFont="1" applyBorder="1" applyAlignment="1" applyProtection="1">
      <alignment horizontal="center"/>
      <protection hidden="1"/>
    </xf>
    <xf numFmtId="164" fontId="7" fillId="0" borderId="22" xfId="0" applyNumberFormat="1" applyFont="1" applyBorder="1" applyAlignment="1" applyProtection="1">
      <alignment horizontal="center"/>
      <protection hidden="1"/>
    </xf>
    <xf numFmtId="0" fontId="95" fillId="0" borderId="23" xfId="0" applyFont="1" applyBorder="1" applyAlignment="1" applyProtection="1">
      <alignment horizontal="left"/>
      <protection hidden="1"/>
    </xf>
    <xf numFmtId="0" fontId="13" fillId="0" borderId="4" xfId="0" applyFont="1" applyBorder="1" applyProtection="1">
      <protection hidden="1"/>
    </xf>
    <xf numFmtId="164" fontId="14" fillId="0" borderId="0" xfId="0" applyNumberFormat="1" applyFont="1" applyAlignment="1" applyProtection="1">
      <alignment horizontal="center"/>
      <protection hidden="1"/>
    </xf>
    <xf numFmtId="0" fontId="13" fillId="0" borderId="0" xfId="0" applyFont="1" applyProtection="1">
      <protection hidden="1"/>
    </xf>
    <xf numFmtId="1" fontId="13" fillId="0" borderId="0" xfId="0" applyNumberFormat="1" applyFont="1" applyAlignment="1" applyProtection="1">
      <alignment horizontal="center"/>
      <protection hidden="1"/>
    </xf>
    <xf numFmtId="1" fontId="13" fillId="0" borderId="2" xfId="0" applyNumberFormat="1" applyFont="1" applyBorder="1" applyAlignment="1" applyProtection="1">
      <alignment horizontal="center"/>
      <protection hidden="1"/>
    </xf>
    <xf numFmtId="0" fontId="13" fillId="0" borderId="5" xfId="0" applyFont="1" applyBorder="1" applyProtection="1">
      <protection hidden="1"/>
    </xf>
    <xf numFmtId="164" fontId="14" fillId="0" borderId="1" xfId="0" applyNumberFormat="1" applyFont="1" applyBorder="1" applyAlignment="1" applyProtection="1">
      <alignment horizontal="center"/>
      <protection hidden="1"/>
    </xf>
    <xf numFmtId="0" fontId="13" fillId="0" borderId="1" xfId="0" applyFont="1" applyBorder="1" applyProtection="1">
      <protection hidden="1"/>
    </xf>
    <xf numFmtId="0" fontId="13" fillId="0" borderId="3" xfId="0" applyFont="1" applyBorder="1" applyProtection="1">
      <protection hidden="1"/>
    </xf>
    <xf numFmtId="0" fontId="7" fillId="0" borderId="0" xfId="0" applyFont="1" applyAlignment="1" applyProtection="1">
      <alignment horizontal="right"/>
      <protection hidden="1"/>
    </xf>
    <xf numFmtId="1" fontId="7" fillId="0" borderId="0" xfId="0" applyNumberFormat="1" applyFont="1" applyAlignment="1" applyProtection="1">
      <alignment horizontal="center"/>
      <protection hidden="1"/>
    </xf>
    <xf numFmtId="1" fontId="7" fillId="0" borderId="0" xfId="0" applyNumberFormat="1" applyFont="1" applyProtection="1">
      <protection hidden="1"/>
    </xf>
    <xf numFmtId="2" fontId="7" fillId="0" borderId="0" xfId="0" applyNumberFormat="1" applyFont="1" applyProtection="1">
      <protection hidden="1"/>
    </xf>
    <xf numFmtId="2" fontId="0" fillId="0" borderId="3" xfId="0" applyNumberFormat="1" applyBorder="1"/>
    <xf numFmtId="0" fontId="76" fillId="0" borderId="4" xfId="0" applyFont="1" applyBorder="1" applyAlignment="1">
      <alignment horizontal="left" wrapText="1" indent="2"/>
    </xf>
    <xf numFmtId="0" fontId="58" fillId="0" borderId="25" xfId="0" applyFont="1" applyBorder="1" applyAlignment="1">
      <alignment horizontal="center"/>
    </xf>
    <xf numFmtId="0" fontId="82" fillId="2" borderId="16" xfId="0" quotePrefix="1" applyFont="1" applyFill="1" applyBorder="1" applyAlignment="1">
      <alignment horizontal="center" vertical="center" wrapText="1"/>
    </xf>
    <xf numFmtId="0" fontId="72" fillId="0" borderId="10" xfId="0" applyFont="1" applyBorder="1" applyAlignment="1">
      <alignment horizontal="center"/>
    </xf>
    <xf numFmtId="0" fontId="72" fillId="0" borderId="19" xfId="0" applyFont="1" applyBorder="1" applyAlignment="1">
      <alignment horizontal="center"/>
    </xf>
    <xf numFmtId="0" fontId="72" fillId="0" borderId="20" xfId="0" applyFont="1" applyBorder="1" applyAlignment="1">
      <alignment horizontal="center"/>
    </xf>
    <xf numFmtId="2" fontId="72" fillId="0" borderId="10" xfId="0" applyNumberFormat="1" applyFont="1" applyBorder="1" applyAlignment="1">
      <alignment horizontal="center"/>
    </xf>
    <xf numFmtId="2" fontId="72" fillId="0" borderId="19" xfId="0" applyNumberFormat="1" applyFont="1" applyBorder="1" applyAlignment="1">
      <alignment horizontal="center"/>
    </xf>
    <xf numFmtId="0" fontId="72" fillId="0" borderId="21" xfId="0" applyFont="1" applyBorder="1" applyAlignment="1">
      <alignment horizontal="center"/>
    </xf>
    <xf numFmtId="2" fontId="72" fillId="0" borderId="22" xfId="0" applyNumberFormat="1" applyFont="1" applyBorder="1" applyAlignment="1">
      <alignment horizontal="center"/>
    </xf>
    <xf numFmtId="2" fontId="72" fillId="0" borderId="23" xfId="0" applyNumberFormat="1" applyFont="1" applyBorder="1" applyAlignment="1">
      <alignment horizontal="center"/>
    </xf>
    <xf numFmtId="2" fontId="11" fillId="0" borderId="2" xfId="0" applyNumberFormat="1" applyFont="1" applyBorder="1" applyAlignment="1">
      <alignment vertical="top" wrapText="1"/>
    </xf>
    <xf numFmtId="0" fontId="31" fillId="0" borderId="6" xfId="0" applyFont="1" applyBorder="1" applyAlignment="1">
      <alignment horizontal="center"/>
    </xf>
    <xf numFmtId="0" fontId="34" fillId="0" borderId="6" xfId="0" applyFont="1" applyBorder="1" applyAlignment="1">
      <alignment horizontal="center"/>
    </xf>
    <xf numFmtId="0" fontId="6" fillId="0" borderId="7" xfId="0" applyFont="1" applyBorder="1"/>
    <xf numFmtId="0" fontId="6" fillId="0" borderId="2" xfId="0" applyFont="1" applyBorder="1"/>
    <xf numFmtId="0" fontId="92" fillId="0" borderId="2" xfId="0" applyFont="1" applyBorder="1"/>
    <xf numFmtId="0" fontId="92" fillId="0" borderId="3" xfId="0" applyFont="1" applyBorder="1"/>
    <xf numFmtId="0" fontId="93" fillId="0" borderId="2" xfId="0" applyFont="1" applyBorder="1" applyAlignment="1">
      <alignment horizontal="center" vertical="center"/>
    </xf>
    <xf numFmtId="0" fontId="91" fillId="0" borderId="2" xfId="0" applyFont="1" applyBorder="1" applyAlignment="1">
      <alignment horizontal="center"/>
    </xf>
    <xf numFmtId="0" fontId="92" fillId="0" borderId="2" xfId="0" applyFont="1" applyBorder="1" applyAlignment="1">
      <alignment horizontal="center"/>
    </xf>
    <xf numFmtId="0" fontId="93" fillId="0" borderId="2" xfId="0" applyFont="1" applyBorder="1" applyAlignment="1">
      <alignment horizontal="center"/>
    </xf>
    <xf numFmtId="2" fontId="20" fillId="0" borderId="0" xfId="0" applyNumberFormat="1" applyFont="1" applyAlignment="1">
      <alignment horizontal="center" vertical="center"/>
    </xf>
    <xf numFmtId="2" fontId="7" fillId="0" borderId="11" xfId="0" applyNumberFormat="1" applyFont="1" applyBorder="1"/>
    <xf numFmtId="2" fontId="35" fillId="0" borderId="0" xfId="0" quotePrefix="1" applyNumberFormat="1" applyFont="1" applyAlignment="1">
      <alignment horizontal="center" wrapText="1"/>
    </xf>
    <xf numFmtId="0" fontId="18" fillId="0" borderId="11" xfId="0" applyFont="1" applyBorder="1" applyAlignment="1">
      <alignment horizontal="center" vertical="center"/>
    </xf>
    <xf numFmtId="0" fontId="40" fillId="2" borderId="8" xfId="0" quotePrefix="1" applyFont="1" applyFill="1" applyBorder="1" applyAlignment="1">
      <alignment horizontal="center" vertical="center" wrapText="1"/>
    </xf>
    <xf numFmtId="0" fontId="57" fillId="0" borderId="4" xfId="0" applyFont="1" applyBorder="1" applyAlignment="1">
      <alignment horizontal="right" vertical="center"/>
    </xf>
    <xf numFmtId="0" fontId="57" fillId="0" borderId="0" xfId="0" applyFont="1" applyAlignment="1">
      <alignment horizontal="right" vertical="center"/>
    </xf>
    <xf numFmtId="0" fontId="98" fillId="0" borderId="9" xfId="0" applyFont="1" applyBorder="1" applyAlignment="1">
      <alignment horizontal="center"/>
    </xf>
    <xf numFmtId="0" fontId="98" fillId="0" borderId="6" xfId="0" applyFont="1" applyBorder="1" applyAlignment="1">
      <alignment horizontal="center"/>
    </xf>
    <xf numFmtId="0" fontId="98" fillId="0" borderId="7" xfId="0" applyFont="1" applyBorder="1" applyAlignment="1">
      <alignment horizontal="center"/>
    </xf>
    <xf numFmtId="0" fontId="90" fillId="6" borderId="1" xfId="0" applyFont="1" applyFill="1" applyBorder="1" applyAlignment="1">
      <alignment horizontal="center"/>
    </xf>
    <xf numFmtId="0" fontId="90" fillId="8" borderId="1" xfId="0" applyFont="1" applyFill="1" applyBorder="1" applyAlignment="1">
      <alignment horizontal="center"/>
    </xf>
    <xf numFmtId="0" fontId="90" fillId="8" borderId="3" xfId="0" applyFont="1" applyFill="1" applyBorder="1" applyAlignment="1">
      <alignment horizontal="center"/>
    </xf>
    <xf numFmtId="0" fontId="82" fillId="2" borderId="15" xfId="0" quotePrefix="1" applyFont="1" applyFill="1" applyBorder="1" applyAlignment="1">
      <alignment horizontal="center" vertical="center" wrapText="1"/>
    </xf>
    <xf numFmtId="0" fontId="82" fillId="2" borderId="15" xfId="0" applyFont="1" applyFill="1" applyBorder="1" applyAlignment="1">
      <alignment horizontal="center" vertical="center" wrapText="1"/>
    </xf>
    <xf numFmtId="0" fontId="87" fillId="0" borderId="9" xfId="0" applyFont="1" applyBorder="1" applyAlignment="1">
      <alignment horizontal="center" vertical="center" wrapText="1"/>
    </xf>
    <xf numFmtId="0" fontId="87" fillId="0" borderId="5" xfId="0" applyFont="1" applyBorder="1" applyAlignment="1">
      <alignment horizontal="center" vertical="center" wrapText="1"/>
    </xf>
    <xf numFmtId="164" fontId="20" fillId="6" borderId="7" xfId="0" applyNumberFormat="1" applyFont="1" applyFill="1" applyBorder="1" applyAlignment="1">
      <alignment horizontal="center" vertical="center"/>
    </xf>
    <xf numFmtId="164" fontId="20" fillId="6" borderId="3" xfId="0" applyNumberFormat="1" applyFont="1" applyFill="1" applyBorder="1" applyAlignment="1">
      <alignment horizontal="center" vertical="center"/>
    </xf>
    <xf numFmtId="0" fontId="33" fillId="0" borderId="9" xfId="0" applyFont="1" applyBorder="1" applyAlignment="1">
      <alignment horizontal="center" vertical="center" wrapText="1"/>
    </xf>
    <xf numFmtId="0" fontId="33" fillId="0" borderId="6" xfId="0" applyFont="1" applyBorder="1" applyAlignment="1">
      <alignment horizontal="center" vertical="center" wrapText="1"/>
    </xf>
    <xf numFmtId="0" fontId="58" fillId="0" borderId="12" xfId="0" applyFont="1" applyBorder="1" applyAlignment="1" applyProtection="1">
      <alignment horizontal="center"/>
      <protection locked="0"/>
    </xf>
    <xf numFmtId="0" fontId="58" fillId="0" borderId="11" xfId="0" applyFont="1" applyBorder="1" applyAlignment="1" applyProtection="1">
      <alignment horizontal="center"/>
      <protection locked="0"/>
    </xf>
    <xf numFmtId="2" fontId="82" fillId="2" borderId="15" xfId="0" quotePrefix="1" applyNumberFormat="1" applyFont="1" applyFill="1" applyBorder="1" applyAlignment="1">
      <alignment horizontal="center" vertical="center" wrapText="1"/>
    </xf>
    <xf numFmtId="0" fontId="82" fillId="11" borderId="15" xfId="0" quotePrefix="1" applyFont="1" applyFill="1" applyBorder="1" applyAlignment="1">
      <alignment horizontal="center" vertical="center" wrapText="1"/>
    </xf>
    <xf numFmtId="2" fontId="82" fillId="11" borderId="15" xfId="0" quotePrefix="1" applyNumberFormat="1" applyFont="1" applyFill="1" applyBorder="1" applyAlignment="1">
      <alignment horizontal="center" vertical="center" wrapText="1"/>
    </xf>
    <xf numFmtId="2" fontId="82" fillId="11" borderId="15" xfId="0" applyNumberFormat="1" applyFont="1" applyFill="1" applyBorder="1" applyAlignment="1">
      <alignment horizontal="center" vertical="center" wrapText="1"/>
    </xf>
    <xf numFmtId="167" fontId="7" fillId="0" borderId="22" xfId="0" applyNumberFormat="1" applyFont="1" applyBorder="1" applyAlignment="1">
      <alignment horizontal="center"/>
    </xf>
    <xf numFmtId="167" fontId="7" fillId="0" borderId="23" xfId="0" applyNumberFormat="1" applyFont="1" applyBorder="1" applyAlignment="1">
      <alignment horizont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8" xfId="0" applyFont="1" applyBorder="1" applyAlignment="1">
      <alignment horizontal="center"/>
    </xf>
    <xf numFmtId="0" fontId="7" fillId="0" borderId="18" xfId="0" applyFont="1" applyBorder="1" applyAlignment="1">
      <alignment horizontal="center"/>
    </xf>
    <xf numFmtId="0" fontId="28" fillId="0" borderId="1" xfId="0" applyFont="1" applyBorder="1" applyAlignment="1">
      <alignment horizontal="center"/>
    </xf>
    <xf numFmtId="0" fontId="28" fillId="0" borderId="3"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28" fillId="0" borderId="26" xfId="0" applyFont="1" applyBorder="1" applyAlignment="1">
      <alignment horizontal="center"/>
    </xf>
    <xf numFmtId="0" fontId="28" fillId="0" borderId="27" xfId="0" applyFont="1" applyBorder="1" applyAlignment="1">
      <alignment horizontal="center"/>
    </xf>
    <xf numFmtId="0" fontId="41" fillId="0" borderId="0" xfId="0" applyFont="1" applyAlignment="1">
      <alignment horizontal="center"/>
    </xf>
    <xf numFmtId="0" fontId="6" fillId="0" borderId="47" xfId="0" applyFont="1" applyBorder="1" applyAlignment="1">
      <alignment horizontal="center" wrapText="1"/>
    </xf>
    <xf numFmtId="0" fontId="6" fillId="0" borderId="20" xfId="0" applyFont="1" applyBorder="1" applyAlignment="1">
      <alignment horizontal="center" wrapText="1"/>
    </xf>
    <xf numFmtId="0" fontId="6" fillId="0" borderId="49" xfId="0" applyFont="1" applyBorder="1" applyAlignment="1">
      <alignment horizontal="center" wrapText="1"/>
    </xf>
    <xf numFmtId="0" fontId="6" fillId="0" borderId="19" xfId="0" applyFont="1" applyBorder="1" applyAlignment="1">
      <alignment horizontal="center" wrapText="1"/>
    </xf>
    <xf numFmtId="2" fontId="70" fillId="0" borderId="47" xfId="0" applyNumberFormat="1" applyFont="1" applyBorder="1" applyAlignment="1">
      <alignment horizontal="center" vertical="center" wrapText="1"/>
    </xf>
    <xf numFmtId="2" fontId="70" fillId="0" borderId="20" xfId="0" applyNumberFormat="1" applyFont="1" applyBorder="1" applyAlignment="1">
      <alignment horizontal="center" vertical="center" wrapText="1"/>
    </xf>
    <xf numFmtId="0" fontId="3" fillId="0" borderId="48" xfId="0" applyFont="1" applyBorder="1" applyAlignment="1">
      <alignment horizontal="center"/>
    </xf>
    <xf numFmtId="0" fontId="3" fillId="0" borderId="49" xfId="0" applyFont="1" applyBorder="1" applyAlignment="1">
      <alignment horizontal="center"/>
    </xf>
    <xf numFmtId="0" fontId="24" fillId="0" borderId="0" xfId="0" applyFont="1" applyAlignment="1">
      <alignment horizontal="center"/>
    </xf>
    <xf numFmtId="0" fontId="27" fillId="0" borderId="30" xfId="0" applyFont="1" applyBorder="1" applyAlignment="1">
      <alignment horizontal="center"/>
    </xf>
    <xf numFmtId="0" fontId="27" fillId="0" borderId="11" xfId="0" applyFont="1" applyBorder="1" applyAlignment="1">
      <alignment horizontal="center"/>
    </xf>
    <xf numFmtId="0" fontId="7" fillId="0" borderId="0" xfId="0" applyFont="1" applyAlignment="1">
      <alignment horizontal="center"/>
    </xf>
    <xf numFmtId="0" fontId="7" fillId="0" borderId="2"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27" fillId="0" borderId="6" xfId="0" applyFont="1" applyBorder="1" applyAlignment="1">
      <alignment horizontal="center"/>
    </xf>
    <xf numFmtId="0" fontId="27" fillId="0" borderId="7" xfId="0" applyFont="1" applyBorder="1" applyAlignment="1">
      <alignment horizontal="center"/>
    </xf>
    <xf numFmtId="0" fontId="48" fillId="0" borderId="0" xfId="0" applyFont="1" applyAlignment="1">
      <alignment horizontal="center"/>
    </xf>
    <xf numFmtId="0" fontId="48" fillId="0" borderId="2" xfId="0" applyFont="1" applyBorder="1" applyAlignment="1">
      <alignment horizontal="center"/>
    </xf>
    <xf numFmtId="0" fontId="24" fillId="0" borderId="1" xfId="0" applyFont="1" applyBorder="1" applyAlignment="1">
      <alignment horizontal="center"/>
    </xf>
    <xf numFmtId="0" fontId="24" fillId="0" borderId="9" xfId="0" applyFont="1" applyBorder="1" applyAlignment="1">
      <alignment horizontal="center"/>
    </xf>
    <xf numFmtId="0" fontId="24" fillId="0" borderId="6" xfId="0" applyFont="1" applyBorder="1" applyAlignment="1">
      <alignment horizontal="center"/>
    </xf>
    <xf numFmtId="0" fontId="24" fillId="0" borderId="5"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10" borderId="6" xfId="0" applyFont="1" applyFill="1" applyBorder="1" applyAlignment="1" applyProtection="1">
      <alignment horizontal="center"/>
      <protection hidden="1"/>
    </xf>
    <xf numFmtId="0" fontId="7" fillId="10" borderId="7" xfId="0" applyFont="1" applyFill="1" applyBorder="1" applyAlignment="1" applyProtection="1">
      <alignment horizontal="center"/>
      <protection hidden="1"/>
    </xf>
    <xf numFmtId="0" fontId="7" fillId="10" borderId="35" xfId="0" applyFont="1" applyFill="1" applyBorder="1" applyAlignment="1" applyProtection="1">
      <alignment horizontal="center"/>
      <protection hidden="1"/>
    </xf>
    <xf numFmtId="0" fontId="7" fillId="10" borderId="36" xfId="0" applyFont="1" applyFill="1" applyBorder="1" applyAlignment="1" applyProtection="1">
      <alignment horizontal="center"/>
      <protection hidden="1"/>
    </xf>
    <xf numFmtId="168" fontId="20" fillId="6" borderId="7" xfId="1" applyNumberFormat="1" applyFont="1" applyFill="1" applyBorder="1" applyAlignment="1" applyProtection="1">
      <alignment horizontal="center" vertical="center"/>
    </xf>
    <xf numFmtId="168" fontId="20" fillId="6" borderId="3" xfId="1" applyNumberFormat="1" applyFont="1" applyFill="1" applyBorder="1" applyAlignment="1" applyProtection="1">
      <alignment horizontal="center" vertical="center"/>
    </xf>
    <xf numFmtId="0" fontId="50" fillId="0" borderId="0" xfId="0" applyFont="1" applyAlignment="1">
      <alignment horizontal="center" vertical="center" wrapText="1"/>
    </xf>
    <xf numFmtId="0" fontId="50" fillId="0" borderId="2"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3" xfId="0" applyFont="1" applyBorder="1" applyAlignment="1">
      <alignment horizontal="center" vertical="center" wrapText="1"/>
    </xf>
    <xf numFmtId="10" fontId="82" fillId="2" borderId="15" xfId="1" quotePrefix="1" applyNumberFormat="1" applyFont="1" applyFill="1" applyBorder="1" applyAlignment="1" applyProtection="1">
      <alignment horizontal="center" vertical="center" wrapText="1"/>
    </xf>
    <xf numFmtId="10" fontId="82" fillId="2" borderId="15" xfId="1" applyNumberFormat="1" applyFont="1" applyFill="1" applyBorder="1" applyAlignment="1" applyProtection="1">
      <alignment horizontal="center" vertical="center" wrapText="1"/>
    </xf>
    <xf numFmtId="2" fontId="82" fillId="2" borderId="15" xfId="0" applyNumberFormat="1" applyFont="1" applyFill="1" applyBorder="1" applyAlignment="1">
      <alignment horizontal="center" vertical="center" wrapText="1"/>
    </xf>
    <xf numFmtId="0" fontId="7" fillId="12" borderId="6" xfId="0" applyFont="1" applyFill="1" applyBorder="1" applyAlignment="1">
      <alignment horizontal="center"/>
    </xf>
    <xf numFmtId="0" fontId="7" fillId="12" borderId="7" xfId="0" applyFont="1" applyFill="1" applyBorder="1" applyAlignment="1">
      <alignment horizontal="center"/>
    </xf>
    <xf numFmtId="0" fontId="7" fillId="13" borderId="1" xfId="0" applyFont="1" applyFill="1" applyBorder="1" applyAlignment="1">
      <alignment horizontal="center"/>
    </xf>
    <xf numFmtId="0" fontId="7" fillId="13" borderId="3" xfId="0" applyFont="1" applyFill="1" applyBorder="1" applyAlignment="1">
      <alignment horizontal="center"/>
    </xf>
    <xf numFmtId="0" fontId="0" fillId="10" borderId="9" xfId="0" applyFill="1" applyBorder="1" applyAlignment="1" applyProtection="1">
      <alignment horizontal="center"/>
      <protection hidden="1"/>
    </xf>
    <xf numFmtId="0" fontId="0" fillId="10" borderId="6" xfId="0" applyFill="1" applyBorder="1" applyAlignment="1" applyProtection="1">
      <alignment horizontal="center"/>
      <protection hidden="1"/>
    </xf>
    <xf numFmtId="0" fontId="0" fillId="10" borderId="7" xfId="0" applyFill="1" applyBorder="1" applyAlignment="1" applyProtection="1">
      <alignment horizontal="center"/>
      <protection hidden="1"/>
    </xf>
    <xf numFmtId="0" fontId="3" fillId="0" borderId="9" xfId="0" applyFont="1" applyBorder="1" applyAlignment="1">
      <alignment horizontal="center"/>
    </xf>
    <xf numFmtId="0" fontId="3" fillId="0" borderId="7" xfId="0" applyFont="1" applyBorder="1" applyAlignment="1">
      <alignment horizontal="center"/>
    </xf>
  </cellXfs>
  <cellStyles count="4">
    <cellStyle name="Normal" xfId="0" builtinId="0"/>
    <cellStyle name="Normal 2" xfId="2" xr:uid="{00000000-0005-0000-0000-000001000000}"/>
    <cellStyle name="Normal 3" xfId="3" xr:uid="{00000000-0005-0000-0000-000002000000}"/>
    <cellStyle name="Percent" xfId="1" builtinId="5"/>
  </cellStyles>
  <dxfs count="38">
    <dxf>
      <font>
        <color theme="0"/>
      </font>
      <border>
        <vertical/>
        <horizontal/>
      </border>
    </dxf>
    <dxf>
      <fill>
        <patternFill>
          <bgColor rgb="FFFF0000"/>
        </patternFill>
      </fill>
    </dxf>
    <dxf>
      <font>
        <b/>
        <i/>
        <color rgb="FF0000FF"/>
      </font>
    </dxf>
    <dxf>
      <fill>
        <patternFill>
          <bgColor rgb="FFFFFF00"/>
        </patternFill>
      </fill>
      <border>
        <left/>
        <right/>
        <top/>
        <bottom/>
        <vertical/>
        <horizontal/>
      </border>
    </dxf>
    <dxf>
      <fill>
        <patternFill>
          <bgColor indexed="11"/>
        </patternFill>
      </fill>
    </dxf>
    <dxf>
      <fill>
        <patternFill>
          <bgColor indexed="13"/>
        </patternFill>
      </fill>
    </dxf>
    <dxf>
      <fill>
        <patternFill>
          <bgColor rgb="FFFFFF00"/>
        </patternFill>
      </fill>
      <border>
        <left/>
        <right/>
        <top/>
        <bottom/>
        <vertical/>
        <horizontal/>
      </border>
    </dxf>
    <dxf>
      <fill>
        <patternFill>
          <bgColor indexed="11"/>
        </patternFill>
      </fill>
    </dxf>
    <dxf>
      <fill>
        <patternFill>
          <bgColor indexed="13"/>
        </patternFill>
      </fill>
    </dxf>
    <dxf>
      <fill>
        <patternFill>
          <bgColor indexed="11"/>
        </patternFill>
      </fill>
    </dxf>
    <dxf>
      <fill>
        <patternFill>
          <bgColor indexed="13"/>
        </patternFill>
      </fill>
    </dxf>
    <dxf>
      <font>
        <color theme="0"/>
      </font>
      <fill>
        <patternFill patternType="none">
          <bgColor auto="1"/>
        </patternFill>
      </fill>
      <border>
        <left/>
        <right/>
        <top/>
        <bottom/>
      </border>
    </dxf>
    <dxf>
      <fill>
        <patternFill>
          <bgColor rgb="FFFFFF00"/>
        </patternFill>
      </fill>
    </dxf>
    <dxf>
      <font>
        <b/>
        <i val="0"/>
        <color rgb="FFFF0000"/>
      </font>
      <fill>
        <patternFill patternType="none">
          <bgColor auto="1"/>
        </patternFill>
      </fill>
    </dxf>
    <dxf>
      <fill>
        <patternFill>
          <bgColor indexed="11"/>
        </patternFill>
      </fill>
    </dxf>
    <dxf>
      <fill>
        <patternFill>
          <bgColor indexed="13"/>
        </patternFill>
      </fill>
    </dxf>
    <dxf>
      <fill>
        <patternFill>
          <bgColor indexed="11"/>
        </patternFill>
      </fill>
    </dxf>
    <dxf>
      <fill>
        <patternFill>
          <bgColor indexed="34"/>
        </patternFill>
      </fill>
    </dxf>
    <dxf>
      <fill>
        <patternFill>
          <bgColor rgb="FFFFFF00"/>
        </patternFill>
      </fill>
    </dxf>
    <dxf>
      <fill>
        <patternFill>
          <bgColor rgb="FF00FF00"/>
        </patternFill>
      </fill>
    </dxf>
    <dxf>
      <fill>
        <patternFill>
          <bgColor indexed="11"/>
        </patternFill>
      </fill>
    </dxf>
    <dxf>
      <fill>
        <patternFill>
          <bgColor indexed="34"/>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rgb="FF66FF33"/>
        </patternFill>
      </fill>
    </dxf>
    <dxf>
      <fill>
        <patternFill>
          <bgColor indexed="13"/>
        </patternFill>
      </fill>
    </dxf>
    <dxf>
      <fill>
        <patternFill>
          <bgColor rgb="FFFFFF00"/>
        </patternFill>
      </fill>
    </dxf>
    <dxf>
      <fill>
        <patternFill>
          <bgColor rgb="FF66FF33"/>
        </patternFill>
      </fill>
    </dxf>
    <dxf>
      <fill>
        <patternFill>
          <bgColor rgb="FFFFFF00"/>
        </patternFill>
      </fill>
    </dxf>
    <dxf>
      <font>
        <color auto="1"/>
      </font>
      <fill>
        <patternFill>
          <bgColor rgb="FFFFFF00"/>
        </patternFill>
      </fill>
    </dxf>
    <dxf>
      <fill>
        <patternFill>
          <bgColor rgb="FF66FF33"/>
        </patternFill>
      </fill>
    </dxf>
    <dxf>
      <fill>
        <patternFill>
          <bgColor indexed="11"/>
        </patternFill>
      </fill>
    </dxf>
    <dxf>
      <fill>
        <patternFill>
          <bgColor indexed="13"/>
        </patternFill>
      </fill>
    </dxf>
    <dxf>
      <fill>
        <patternFill>
          <bgColor rgb="FF76FF21"/>
        </patternFill>
      </fill>
    </dxf>
    <dxf>
      <font>
        <color theme="0"/>
      </font>
      <border>
        <vertical/>
        <horizontal/>
      </border>
    </dxf>
    <dxf>
      <font>
        <color theme="0"/>
      </font>
      <border>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FF33"/>
      <color rgb="FFFFFF99"/>
      <color rgb="FF0000FF"/>
      <color rgb="FFE3E3E3"/>
      <color rgb="FF000080"/>
      <color rgb="FFDDDDDD"/>
      <color rgb="FF00FF00"/>
      <color rgb="FF76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5</xdr:col>
      <xdr:colOff>175459</xdr:colOff>
      <xdr:row>107</xdr:row>
      <xdr:rowOff>22840</xdr:rowOff>
    </xdr:from>
    <xdr:to>
      <xdr:col>6</xdr:col>
      <xdr:colOff>634317</xdr:colOff>
      <xdr:row>111</xdr:row>
      <xdr:rowOff>26002</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stretch>
          <a:fillRect/>
        </a:stretch>
      </xdr:blipFill>
      <xdr:spPr>
        <a:xfrm>
          <a:off x="5023684" y="34798615"/>
          <a:ext cx="1516133" cy="1355712"/>
        </a:xfrm>
        <a:prstGeom prst="rect">
          <a:avLst/>
        </a:prstGeom>
      </xdr:spPr>
    </xdr:pic>
    <xdr:clientData/>
  </xdr:twoCellAnchor>
  <xdr:twoCellAnchor editAs="oneCell">
    <xdr:from>
      <xdr:col>6</xdr:col>
      <xdr:colOff>119851</xdr:colOff>
      <xdr:row>35</xdr:row>
      <xdr:rowOff>31714</xdr:rowOff>
    </xdr:from>
    <xdr:to>
      <xdr:col>8</xdr:col>
      <xdr:colOff>953352</xdr:colOff>
      <xdr:row>41</xdr:row>
      <xdr:rowOff>249057</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774" t="14975" r="29334" b="35110"/>
        <a:stretch/>
      </xdr:blipFill>
      <xdr:spPr>
        <a:xfrm>
          <a:off x="6015826" y="13747714"/>
          <a:ext cx="2405126" cy="3103418"/>
        </a:xfrm>
        <a:prstGeom prst="rect">
          <a:avLst/>
        </a:prstGeom>
        <a:ln>
          <a:solidFill>
            <a:sysClr val="windowText" lastClr="000000"/>
          </a:solidFill>
        </a:ln>
      </xdr:spPr>
    </xdr:pic>
    <xdr:clientData/>
  </xdr:twoCellAnchor>
  <xdr:twoCellAnchor editAs="oneCell">
    <xdr:from>
      <xdr:col>6</xdr:col>
      <xdr:colOff>147068</xdr:colOff>
      <xdr:row>42</xdr:row>
      <xdr:rowOff>0</xdr:rowOff>
    </xdr:from>
    <xdr:to>
      <xdr:col>8</xdr:col>
      <xdr:colOff>1005840</xdr:colOff>
      <xdr:row>49</xdr:row>
      <xdr:rowOff>151953</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5060" t="8724" r="22859" b="30297"/>
        <a:stretch/>
      </xdr:blipFill>
      <xdr:spPr>
        <a:xfrm>
          <a:off x="6043043" y="16251555"/>
          <a:ext cx="2430397" cy="3104703"/>
        </a:xfrm>
        <a:prstGeom prst="rect">
          <a:avLst/>
        </a:prstGeom>
        <a:ln>
          <a:solidFill>
            <a:sysClr val="windowText" lastClr="000000"/>
          </a:solidFill>
        </a:ln>
      </xdr:spPr>
    </xdr:pic>
    <xdr:clientData/>
  </xdr:twoCellAnchor>
  <xdr:twoCellAnchor editAs="oneCell">
    <xdr:from>
      <xdr:col>6</xdr:col>
      <xdr:colOff>145258</xdr:colOff>
      <xdr:row>21</xdr:row>
      <xdr:rowOff>131100</xdr:rowOff>
    </xdr:from>
    <xdr:to>
      <xdr:col>8</xdr:col>
      <xdr:colOff>932553</xdr:colOff>
      <xdr:row>30</xdr:row>
      <xdr:rowOff>9526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8020" t="13548" r="28782" b="31724"/>
        <a:stretch/>
      </xdr:blipFill>
      <xdr:spPr>
        <a:xfrm>
          <a:off x="6041233" y="8598825"/>
          <a:ext cx="2358920" cy="3288376"/>
        </a:xfrm>
        <a:prstGeom prst="rect">
          <a:avLst/>
        </a:prstGeom>
        <a:ln>
          <a:solidFill>
            <a:sysClr val="windowText" lastClr="000000"/>
          </a:solidFill>
        </a:ln>
      </xdr:spPr>
    </xdr:pic>
    <xdr:clientData/>
  </xdr:twoCellAnchor>
  <xdr:twoCellAnchor editAs="oneCell">
    <xdr:from>
      <xdr:col>5</xdr:col>
      <xdr:colOff>134954</xdr:colOff>
      <xdr:row>53</xdr:row>
      <xdr:rowOff>213661</xdr:rowOff>
    </xdr:from>
    <xdr:to>
      <xdr:col>7</xdr:col>
      <xdr:colOff>549943</xdr:colOff>
      <xdr:row>59</xdr:row>
      <xdr:rowOff>239326</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8704" t="15075" r="19070" b="41412"/>
        <a:stretch/>
      </xdr:blipFill>
      <xdr:spPr>
        <a:xfrm>
          <a:off x="4983179" y="20978161"/>
          <a:ext cx="2434289" cy="2092590"/>
        </a:xfrm>
        <a:prstGeom prst="rect">
          <a:avLst/>
        </a:prstGeom>
        <a:ln>
          <a:solidFill>
            <a:sysClr val="windowText" lastClr="000000"/>
          </a:solidFill>
        </a:ln>
      </xdr:spPr>
    </xdr:pic>
    <xdr:clientData/>
  </xdr:twoCellAnchor>
  <xdr:twoCellAnchor editAs="oneCell">
    <xdr:from>
      <xdr:col>6</xdr:col>
      <xdr:colOff>386381</xdr:colOff>
      <xdr:row>10</xdr:row>
      <xdr:rowOff>94694</xdr:rowOff>
    </xdr:from>
    <xdr:to>
      <xdr:col>8</xdr:col>
      <xdr:colOff>668907</xdr:colOff>
      <xdr:row>16</xdr:row>
      <xdr:rowOff>229836</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1883" t="6223" r="26163" b="31547"/>
        <a:stretch/>
      </xdr:blipFill>
      <xdr:spPr>
        <a:xfrm>
          <a:off x="6282356" y="3428444"/>
          <a:ext cx="1854151" cy="2811667"/>
        </a:xfrm>
        <a:prstGeom prst="rect">
          <a:avLst/>
        </a:prstGeom>
        <a:ln>
          <a:solidFill>
            <a:sysClr val="windowText" lastClr="000000"/>
          </a:solidFill>
        </a:ln>
      </xdr:spPr>
    </xdr:pic>
    <xdr:clientData/>
  </xdr:twoCellAnchor>
  <xdr:twoCellAnchor editAs="oneCell">
    <xdr:from>
      <xdr:col>1</xdr:col>
      <xdr:colOff>68927</xdr:colOff>
      <xdr:row>195</xdr:row>
      <xdr:rowOff>61763</xdr:rowOff>
    </xdr:from>
    <xdr:to>
      <xdr:col>1</xdr:col>
      <xdr:colOff>2482215</xdr:colOff>
      <xdr:row>206</xdr:row>
      <xdr:rowOff>99773</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0448" t="15585" r="31653" b="35841"/>
        <a:stretch/>
      </xdr:blipFill>
      <xdr:spPr>
        <a:xfrm>
          <a:off x="221327" y="52554038"/>
          <a:ext cx="2413288" cy="1838235"/>
        </a:xfrm>
        <a:prstGeom prst="rect">
          <a:avLst/>
        </a:prstGeom>
        <a:ln>
          <a:solidFill>
            <a:sysClr val="windowText" lastClr="000000"/>
          </a:solidFill>
        </a:ln>
      </xdr:spPr>
    </xdr:pic>
    <xdr:clientData/>
  </xdr:twoCellAnchor>
  <xdr:twoCellAnchor>
    <xdr:from>
      <xdr:col>1</xdr:col>
      <xdr:colOff>1508760</xdr:colOff>
      <xdr:row>85</xdr:row>
      <xdr:rowOff>53340</xdr:rowOff>
    </xdr:from>
    <xdr:to>
      <xdr:col>6</xdr:col>
      <xdr:colOff>396240</xdr:colOff>
      <xdr:row>86</xdr:row>
      <xdr:rowOff>91440</xdr:rowOff>
    </xdr:to>
    <xdr:sp macro="" textlink="">
      <xdr:nvSpPr>
        <xdr:cNvPr id="21" name="Freeform 20">
          <a:extLst>
            <a:ext uri="{FF2B5EF4-FFF2-40B4-BE49-F238E27FC236}">
              <a16:creationId xmlns:a16="http://schemas.microsoft.com/office/drawing/2014/main" id="{00000000-0008-0000-0000-000015000000}"/>
            </a:ext>
          </a:extLst>
        </xdr:cNvPr>
        <xdr:cNvSpPr/>
      </xdr:nvSpPr>
      <xdr:spPr bwMode="auto">
        <a:xfrm>
          <a:off x="1661160" y="25656540"/>
          <a:ext cx="4503420" cy="670560"/>
        </a:xfrm>
        <a:custGeom>
          <a:avLst/>
          <a:gdLst>
            <a:gd name="connsiteX0" fmla="*/ 0 w 4792980"/>
            <a:gd name="connsiteY0" fmla="*/ 929640 h 929640"/>
            <a:gd name="connsiteX1" fmla="*/ 160020 w 4792980"/>
            <a:gd name="connsiteY1" fmla="*/ 853440 h 929640"/>
            <a:gd name="connsiteX2" fmla="*/ 3825240 w 4792980"/>
            <a:gd name="connsiteY2" fmla="*/ 769620 h 929640"/>
            <a:gd name="connsiteX3" fmla="*/ 4511040 w 4792980"/>
            <a:gd name="connsiteY3" fmla="*/ 396240 h 929640"/>
            <a:gd name="connsiteX4" fmla="*/ 4792980 w 4792980"/>
            <a:gd name="connsiteY4" fmla="*/ 0 h 929640"/>
            <a:gd name="connsiteX0" fmla="*/ 0 w 4792980"/>
            <a:gd name="connsiteY0" fmla="*/ 929640 h 929640"/>
            <a:gd name="connsiteX1" fmla="*/ 160020 w 4792980"/>
            <a:gd name="connsiteY1" fmla="*/ 853440 h 929640"/>
            <a:gd name="connsiteX2" fmla="*/ 3825240 w 4792980"/>
            <a:gd name="connsiteY2" fmla="*/ 769620 h 929640"/>
            <a:gd name="connsiteX3" fmla="*/ 4511040 w 4792980"/>
            <a:gd name="connsiteY3" fmla="*/ 396240 h 929640"/>
            <a:gd name="connsiteX4" fmla="*/ 4792980 w 4792980"/>
            <a:gd name="connsiteY4" fmla="*/ 0 h 929640"/>
            <a:gd name="connsiteX0" fmla="*/ 0 w 4792980"/>
            <a:gd name="connsiteY0" fmla="*/ 929640 h 929640"/>
            <a:gd name="connsiteX1" fmla="*/ 160020 w 4792980"/>
            <a:gd name="connsiteY1" fmla="*/ 853440 h 929640"/>
            <a:gd name="connsiteX2" fmla="*/ 3825240 w 4792980"/>
            <a:gd name="connsiteY2" fmla="*/ 769620 h 929640"/>
            <a:gd name="connsiteX3" fmla="*/ 4511040 w 4792980"/>
            <a:gd name="connsiteY3" fmla="*/ 396240 h 929640"/>
            <a:gd name="connsiteX4" fmla="*/ 4792980 w 4792980"/>
            <a:gd name="connsiteY4" fmla="*/ 0 h 929640"/>
            <a:gd name="connsiteX0" fmla="*/ 156803 w 4949783"/>
            <a:gd name="connsiteY0" fmla="*/ 929640 h 929640"/>
            <a:gd name="connsiteX1" fmla="*/ 316823 w 4949783"/>
            <a:gd name="connsiteY1" fmla="*/ 853440 h 929640"/>
            <a:gd name="connsiteX2" fmla="*/ 3982043 w 4949783"/>
            <a:gd name="connsiteY2" fmla="*/ 769620 h 929640"/>
            <a:gd name="connsiteX3" fmla="*/ 4667843 w 4949783"/>
            <a:gd name="connsiteY3" fmla="*/ 396240 h 929640"/>
            <a:gd name="connsiteX4" fmla="*/ 4949783 w 4949783"/>
            <a:gd name="connsiteY4" fmla="*/ 0 h 929640"/>
            <a:gd name="connsiteX0" fmla="*/ 156803 w 4949783"/>
            <a:gd name="connsiteY0" fmla="*/ 929640 h 929640"/>
            <a:gd name="connsiteX1" fmla="*/ 316823 w 4949783"/>
            <a:gd name="connsiteY1" fmla="*/ 853440 h 929640"/>
            <a:gd name="connsiteX2" fmla="*/ 3982043 w 4949783"/>
            <a:gd name="connsiteY2" fmla="*/ 769620 h 929640"/>
            <a:gd name="connsiteX3" fmla="*/ 4949783 w 4949783"/>
            <a:gd name="connsiteY3" fmla="*/ 0 h 929640"/>
            <a:gd name="connsiteX0" fmla="*/ 156803 w 4949783"/>
            <a:gd name="connsiteY0" fmla="*/ 929640 h 929640"/>
            <a:gd name="connsiteX1" fmla="*/ 316823 w 4949783"/>
            <a:gd name="connsiteY1" fmla="*/ 853440 h 929640"/>
            <a:gd name="connsiteX2" fmla="*/ 3982043 w 4949783"/>
            <a:gd name="connsiteY2" fmla="*/ 769620 h 929640"/>
            <a:gd name="connsiteX3" fmla="*/ 4949783 w 4949783"/>
            <a:gd name="connsiteY3" fmla="*/ 0 h 929640"/>
            <a:gd name="connsiteX0" fmla="*/ 0 w 4792980"/>
            <a:gd name="connsiteY0" fmla="*/ 929640 h 929640"/>
            <a:gd name="connsiteX1" fmla="*/ 990600 w 4792980"/>
            <a:gd name="connsiteY1" fmla="*/ 784860 h 929640"/>
            <a:gd name="connsiteX2" fmla="*/ 3825240 w 4792980"/>
            <a:gd name="connsiteY2" fmla="*/ 769620 h 929640"/>
            <a:gd name="connsiteX3" fmla="*/ 4792980 w 4792980"/>
            <a:gd name="connsiteY3" fmla="*/ 0 h 929640"/>
          </a:gdLst>
          <a:ahLst/>
          <a:cxnLst>
            <a:cxn ang="0">
              <a:pos x="connsiteX0" y="connsiteY0"/>
            </a:cxn>
            <a:cxn ang="0">
              <a:pos x="connsiteX1" y="connsiteY1"/>
            </a:cxn>
            <a:cxn ang="0">
              <a:pos x="connsiteX2" y="connsiteY2"/>
            </a:cxn>
            <a:cxn ang="0">
              <a:pos x="connsiteX3" y="connsiteY3"/>
            </a:cxn>
          </a:cxnLst>
          <a:rect l="l" t="t" r="r" b="b"/>
          <a:pathLst>
            <a:path w="4792980" h="929640">
              <a:moveTo>
                <a:pt x="0" y="929640"/>
              </a:moveTo>
              <a:cubicBezTo>
                <a:pt x="53340" y="904240"/>
                <a:pt x="353060" y="811530"/>
                <a:pt x="990600" y="784860"/>
              </a:cubicBezTo>
              <a:cubicBezTo>
                <a:pt x="1628140" y="758190"/>
                <a:pt x="3191510" y="900430"/>
                <a:pt x="3825240" y="769620"/>
              </a:cubicBezTo>
              <a:cubicBezTo>
                <a:pt x="4458970" y="638810"/>
                <a:pt x="4629468" y="228917"/>
                <a:pt x="4792980" y="0"/>
              </a:cubicBezTo>
            </a:path>
          </a:pathLst>
        </a:custGeom>
        <a:noFill/>
        <a:ln w="12700" cap="flat" cmpd="sng" algn="ctr">
          <a:solidFill>
            <a:srgbClr val="FFC000"/>
          </a:solidFill>
          <a:prstDash val="solid"/>
          <a:round/>
          <a:headEnd type="none" w="med" len="med"/>
          <a:tailEnd type="arrow"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1</xdr:col>
      <xdr:colOff>2057400</xdr:colOff>
      <xdr:row>112</xdr:row>
      <xdr:rowOff>60958</xdr:rowOff>
    </xdr:from>
    <xdr:to>
      <xdr:col>5</xdr:col>
      <xdr:colOff>1005840</xdr:colOff>
      <xdr:row>112</xdr:row>
      <xdr:rowOff>250959</xdr:rowOff>
    </xdr:to>
    <xdr:sp macro="" textlink="">
      <xdr:nvSpPr>
        <xdr:cNvPr id="18" name="Freeform 17">
          <a:extLst>
            <a:ext uri="{FF2B5EF4-FFF2-40B4-BE49-F238E27FC236}">
              <a16:creationId xmlns:a16="http://schemas.microsoft.com/office/drawing/2014/main" id="{00000000-0008-0000-0000-000012000000}"/>
            </a:ext>
          </a:extLst>
        </xdr:cNvPr>
        <xdr:cNvSpPr/>
      </xdr:nvSpPr>
      <xdr:spPr bwMode="auto">
        <a:xfrm>
          <a:off x="2209800" y="32293558"/>
          <a:ext cx="3550920" cy="190001"/>
        </a:xfrm>
        <a:custGeom>
          <a:avLst/>
          <a:gdLst>
            <a:gd name="connsiteX0" fmla="*/ 0 w 4792980"/>
            <a:gd name="connsiteY0" fmla="*/ 929640 h 929640"/>
            <a:gd name="connsiteX1" fmla="*/ 160020 w 4792980"/>
            <a:gd name="connsiteY1" fmla="*/ 853440 h 929640"/>
            <a:gd name="connsiteX2" fmla="*/ 3825240 w 4792980"/>
            <a:gd name="connsiteY2" fmla="*/ 769620 h 929640"/>
            <a:gd name="connsiteX3" fmla="*/ 4511040 w 4792980"/>
            <a:gd name="connsiteY3" fmla="*/ 396240 h 929640"/>
            <a:gd name="connsiteX4" fmla="*/ 4792980 w 4792980"/>
            <a:gd name="connsiteY4" fmla="*/ 0 h 929640"/>
            <a:gd name="connsiteX0" fmla="*/ 0 w 4792980"/>
            <a:gd name="connsiteY0" fmla="*/ 929640 h 929640"/>
            <a:gd name="connsiteX1" fmla="*/ 160020 w 4792980"/>
            <a:gd name="connsiteY1" fmla="*/ 853440 h 929640"/>
            <a:gd name="connsiteX2" fmla="*/ 3825240 w 4792980"/>
            <a:gd name="connsiteY2" fmla="*/ 769620 h 929640"/>
            <a:gd name="connsiteX3" fmla="*/ 4511040 w 4792980"/>
            <a:gd name="connsiteY3" fmla="*/ 396240 h 929640"/>
            <a:gd name="connsiteX4" fmla="*/ 4792980 w 4792980"/>
            <a:gd name="connsiteY4" fmla="*/ 0 h 929640"/>
            <a:gd name="connsiteX0" fmla="*/ 0 w 4792980"/>
            <a:gd name="connsiteY0" fmla="*/ 929640 h 929640"/>
            <a:gd name="connsiteX1" fmla="*/ 160020 w 4792980"/>
            <a:gd name="connsiteY1" fmla="*/ 853440 h 929640"/>
            <a:gd name="connsiteX2" fmla="*/ 3825240 w 4792980"/>
            <a:gd name="connsiteY2" fmla="*/ 769620 h 929640"/>
            <a:gd name="connsiteX3" fmla="*/ 4511040 w 4792980"/>
            <a:gd name="connsiteY3" fmla="*/ 396240 h 929640"/>
            <a:gd name="connsiteX4" fmla="*/ 4792980 w 4792980"/>
            <a:gd name="connsiteY4" fmla="*/ 0 h 929640"/>
            <a:gd name="connsiteX0" fmla="*/ 156803 w 4949783"/>
            <a:gd name="connsiteY0" fmla="*/ 929640 h 929640"/>
            <a:gd name="connsiteX1" fmla="*/ 316823 w 4949783"/>
            <a:gd name="connsiteY1" fmla="*/ 853440 h 929640"/>
            <a:gd name="connsiteX2" fmla="*/ 3982043 w 4949783"/>
            <a:gd name="connsiteY2" fmla="*/ 769620 h 929640"/>
            <a:gd name="connsiteX3" fmla="*/ 4667843 w 4949783"/>
            <a:gd name="connsiteY3" fmla="*/ 396240 h 929640"/>
            <a:gd name="connsiteX4" fmla="*/ 4949783 w 4949783"/>
            <a:gd name="connsiteY4" fmla="*/ 0 h 929640"/>
            <a:gd name="connsiteX0" fmla="*/ 156803 w 4949783"/>
            <a:gd name="connsiteY0" fmla="*/ 929640 h 929640"/>
            <a:gd name="connsiteX1" fmla="*/ 316823 w 4949783"/>
            <a:gd name="connsiteY1" fmla="*/ 853440 h 929640"/>
            <a:gd name="connsiteX2" fmla="*/ 3982043 w 4949783"/>
            <a:gd name="connsiteY2" fmla="*/ 769620 h 929640"/>
            <a:gd name="connsiteX3" fmla="*/ 4949783 w 4949783"/>
            <a:gd name="connsiteY3" fmla="*/ 0 h 929640"/>
            <a:gd name="connsiteX0" fmla="*/ 156803 w 4949783"/>
            <a:gd name="connsiteY0" fmla="*/ 929640 h 929640"/>
            <a:gd name="connsiteX1" fmla="*/ 316823 w 4949783"/>
            <a:gd name="connsiteY1" fmla="*/ 853440 h 929640"/>
            <a:gd name="connsiteX2" fmla="*/ 3982043 w 4949783"/>
            <a:gd name="connsiteY2" fmla="*/ 769620 h 929640"/>
            <a:gd name="connsiteX3" fmla="*/ 4949783 w 4949783"/>
            <a:gd name="connsiteY3" fmla="*/ 0 h 929640"/>
            <a:gd name="connsiteX0" fmla="*/ 0 w 4792980"/>
            <a:gd name="connsiteY0" fmla="*/ 929640 h 929640"/>
            <a:gd name="connsiteX1" fmla="*/ 990600 w 4792980"/>
            <a:gd name="connsiteY1" fmla="*/ 784860 h 929640"/>
            <a:gd name="connsiteX2" fmla="*/ 3825240 w 4792980"/>
            <a:gd name="connsiteY2" fmla="*/ 769620 h 929640"/>
            <a:gd name="connsiteX3" fmla="*/ 4792980 w 4792980"/>
            <a:gd name="connsiteY3" fmla="*/ 0 h 929640"/>
            <a:gd name="connsiteX0" fmla="*/ 0 w 4792980"/>
            <a:gd name="connsiteY0" fmla="*/ 929640 h 1129753"/>
            <a:gd name="connsiteX1" fmla="*/ 487680 w 4792980"/>
            <a:gd name="connsiteY1" fmla="*/ 1127760 h 1129753"/>
            <a:gd name="connsiteX2" fmla="*/ 3825240 w 4792980"/>
            <a:gd name="connsiteY2" fmla="*/ 769620 h 1129753"/>
            <a:gd name="connsiteX3" fmla="*/ 4792980 w 4792980"/>
            <a:gd name="connsiteY3" fmla="*/ 0 h 1129753"/>
            <a:gd name="connsiteX0" fmla="*/ 0 w 4792980"/>
            <a:gd name="connsiteY0" fmla="*/ 929640 h 1127821"/>
            <a:gd name="connsiteX1" fmla="*/ 487680 w 4792980"/>
            <a:gd name="connsiteY1" fmla="*/ 1127760 h 1127821"/>
            <a:gd name="connsiteX2" fmla="*/ 3825240 w 4792980"/>
            <a:gd name="connsiteY2" fmla="*/ 769620 h 1127821"/>
            <a:gd name="connsiteX3" fmla="*/ 4792980 w 4792980"/>
            <a:gd name="connsiteY3" fmla="*/ 0 h 1127821"/>
            <a:gd name="connsiteX0" fmla="*/ 0 w 4792980"/>
            <a:gd name="connsiteY0" fmla="*/ 929640 h 1150675"/>
            <a:gd name="connsiteX1" fmla="*/ 251460 w 4792980"/>
            <a:gd name="connsiteY1" fmla="*/ 1150620 h 1150675"/>
            <a:gd name="connsiteX2" fmla="*/ 3825240 w 4792980"/>
            <a:gd name="connsiteY2" fmla="*/ 769620 h 1150675"/>
            <a:gd name="connsiteX3" fmla="*/ 4792980 w 4792980"/>
            <a:gd name="connsiteY3" fmla="*/ 0 h 1150675"/>
            <a:gd name="connsiteX0" fmla="*/ 0 w 4792980"/>
            <a:gd name="connsiteY0" fmla="*/ 929640 h 1150675"/>
            <a:gd name="connsiteX1" fmla="*/ 251460 w 4792980"/>
            <a:gd name="connsiteY1" fmla="*/ 1150620 h 1150675"/>
            <a:gd name="connsiteX2" fmla="*/ 3825240 w 4792980"/>
            <a:gd name="connsiteY2" fmla="*/ 769620 h 1150675"/>
            <a:gd name="connsiteX3" fmla="*/ 4792980 w 4792980"/>
            <a:gd name="connsiteY3" fmla="*/ 0 h 1150675"/>
            <a:gd name="connsiteX0" fmla="*/ 0 w 4792980"/>
            <a:gd name="connsiteY0" fmla="*/ 929640 h 1355671"/>
            <a:gd name="connsiteX1" fmla="*/ 251460 w 4792980"/>
            <a:gd name="connsiteY1" fmla="*/ 1150620 h 1355671"/>
            <a:gd name="connsiteX2" fmla="*/ 1021080 w 4792980"/>
            <a:gd name="connsiteY2" fmla="*/ 1287780 h 1355671"/>
            <a:gd name="connsiteX3" fmla="*/ 4792980 w 4792980"/>
            <a:gd name="connsiteY3" fmla="*/ 0 h 1355671"/>
            <a:gd name="connsiteX0" fmla="*/ 0 w 2575560"/>
            <a:gd name="connsiteY0" fmla="*/ 0 h 519345"/>
            <a:gd name="connsiteX1" fmla="*/ 251460 w 2575560"/>
            <a:gd name="connsiteY1" fmla="*/ 220980 h 519345"/>
            <a:gd name="connsiteX2" fmla="*/ 1021080 w 2575560"/>
            <a:gd name="connsiteY2" fmla="*/ 358140 h 519345"/>
            <a:gd name="connsiteX3" fmla="*/ 2575560 w 2575560"/>
            <a:gd name="connsiteY3" fmla="*/ 426720 h 519345"/>
            <a:gd name="connsiteX0" fmla="*/ 0 w 2575560"/>
            <a:gd name="connsiteY0" fmla="*/ 0 h 574956"/>
            <a:gd name="connsiteX1" fmla="*/ 251460 w 2575560"/>
            <a:gd name="connsiteY1" fmla="*/ 220980 h 574956"/>
            <a:gd name="connsiteX2" fmla="*/ 1051560 w 2575560"/>
            <a:gd name="connsiteY2" fmla="*/ 525780 h 574956"/>
            <a:gd name="connsiteX3" fmla="*/ 2575560 w 2575560"/>
            <a:gd name="connsiteY3" fmla="*/ 426720 h 574956"/>
            <a:gd name="connsiteX0" fmla="*/ 0 w 2316480"/>
            <a:gd name="connsiteY0" fmla="*/ 0 h 628782"/>
            <a:gd name="connsiteX1" fmla="*/ 251460 w 2316480"/>
            <a:gd name="connsiteY1" fmla="*/ 220980 h 628782"/>
            <a:gd name="connsiteX2" fmla="*/ 1051560 w 2316480"/>
            <a:gd name="connsiteY2" fmla="*/ 525780 h 628782"/>
            <a:gd name="connsiteX3" fmla="*/ 2316480 w 2316480"/>
            <a:gd name="connsiteY3" fmla="*/ 510540 h 628782"/>
            <a:gd name="connsiteX0" fmla="*/ 0 w 2316480"/>
            <a:gd name="connsiteY0" fmla="*/ 0 h 625678"/>
            <a:gd name="connsiteX1" fmla="*/ 205740 w 2316480"/>
            <a:gd name="connsiteY1" fmla="*/ 289560 h 625678"/>
            <a:gd name="connsiteX2" fmla="*/ 1051560 w 2316480"/>
            <a:gd name="connsiteY2" fmla="*/ 525780 h 625678"/>
            <a:gd name="connsiteX3" fmla="*/ 2316480 w 2316480"/>
            <a:gd name="connsiteY3" fmla="*/ 510540 h 625678"/>
            <a:gd name="connsiteX0" fmla="*/ 0 w 2316480"/>
            <a:gd name="connsiteY0" fmla="*/ 0 h 625678"/>
            <a:gd name="connsiteX1" fmla="*/ 205740 w 2316480"/>
            <a:gd name="connsiteY1" fmla="*/ 289560 h 625678"/>
            <a:gd name="connsiteX2" fmla="*/ 1051560 w 2316480"/>
            <a:gd name="connsiteY2" fmla="*/ 525780 h 625678"/>
            <a:gd name="connsiteX3" fmla="*/ 2316480 w 2316480"/>
            <a:gd name="connsiteY3" fmla="*/ 510540 h 625678"/>
            <a:gd name="connsiteX0" fmla="*/ 0 w 2316480"/>
            <a:gd name="connsiteY0" fmla="*/ 0 h 625678"/>
            <a:gd name="connsiteX1" fmla="*/ 205740 w 2316480"/>
            <a:gd name="connsiteY1" fmla="*/ 289560 h 625678"/>
            <a:gd name="connsiteX2" fmla="*/ 1051560 w 2316480"/>
            <a:gd name="connsiteY2" fmla="*/ 525780 h 625678"/>
            <a:gd name="connsiteX3" fmla="*/ 2316480 w 2316480"/>
            <a:gd name="connsiteY3" fmla="*/ 510540 h 625678"/>
            <a:gd name="connsiteX0" fmla="*/ 0 w 2316480"/>
            <a:gd name="connsiteY0" fmla="*/ 0 h 605304"/>
            <a:gd name="connsiteX1" fmla="*/ 205740 w 2316480"/>
            <a:gd name="connsiteY1" fmla="*/ 289560 h 605304"/>
            <a:gd name="connsiteX2" fmla="*/ 1226820 w 2316480"/>
            <a:gd name="connsiteY2" fmla="*/ 449580 h 605304"/>
            <a:gd name="connsiteX3" fmla="*/ 2316480 w 2316480"/>
            <a:gd name="connsiteY3" fmla="*/ 510540 h 605304"/>
            <a:gd name="connsiteX0" fmla="*/ 30486 w 2346966"/>
            <a:gd name="connsiteY0" fmla="*/ 0 h 510540"/>
            <a:gd name="connsiteX1" fmla="*/ 236226 w 2346966"/>
            <a:gd name="connsiteY1" fmla="*/ 289560 h 510540"/>
            <a:gd name="connsiteX2" fmla="*/ 2346966 w 2346966"/>
            <a:gd name="connsiteY2" fmla="*/ 510540 h 510540"/>
            <a:gd name="connsiteX0" fmla="*/ 0 w 2316480"/>
            <a:gd name="connsiteY0" fmla="*/ 0 h 510540"/>
            <a:gd name="connsiteX1" fmla="*/ 1005840 w 2316480"/>
            <a:gd name="connsiteY1" fmla="*/ 434340 h 510540"/>
            <a:gd name="connsiteX2" fmla="*/ 2316480 w 2316480"/>
            <a:gd name="connsiteY2" fmla="*/ 510540 h 510540"/>
            <a:gd name="connsiteX0" fmla="*/ 0 w 2316480"/>
            <a:gd name="connsiteY0" fmla="*/ 0 h 460171"/>
            <a:gd name="connsiteX1" fmla="*/ 1005840 w 2316480"/>
            <a:gd name="connsiteY1" fmla="*/ 434340 h 460171"/>
            <a:gd name="connsiteX2" fmla="*/ 2316480 w 2316480"/>
            <a:gd name="connsiteY2" fmla="*/ 441960 h 460171"/>
            <a:gd name="connsiteX0" fmla="*/ 0 w 2316480"/>
            <a:gd name="connsiteY0" fmla="*/ 0 h 516439"/>
            <a:gd name="connsiteX1" fmla="*/ 1005840 w 2316480"/>
            <a:gd name="connsiteY1" fmla="*/ 434340 h 516439"/>
            <a:gd name="connsiteX2" fmla="*/ 2316480 w 2316480"/>
            <a:gd name="connsiteY2" fmla="*/ 441960 h 516439"/>
            <a:gd name="connsiteX0" fmla="*/ 0 w 3232186"/>
            <a:gd name="connsiteY0" fmla="*/ 774669 h 1216628"/>
            <a:gd name="connsiteX1" fmla="*/ 1005840 w 3232186"/>
            <a:gd name="connsiteY1" fmla="*/ 1209009 h 1216628"/>
            <a:gd name="connsiteX2" fmla="*/ 3203787 w 3232186"/>
            <a:gd name="connsiteY2" fmla="*/ 0 h 1216628"/>
            <a:gd name="connsiteX3" fmla="*/ 2316480 w 3232186"/>
            <a:gd name="connsiteY3" fmla="*/ 1216629 h 1216628"/>
            <a:gd name="connsiteX0" fmla="*/ 0 w 3203787"/>
            <a:gd name="connsiteY0" fmla="*/ 774669 h 1211380"/>
            <a:gd name="connsiteX1" fmla="*/ 1005840 w 3203787"/>
            <a:gd name="connsiteY1" fmla="*/ 1209009 h 1211380"/>
            <a:gd name="connsiteX2" fmla="*/ 3203787 w 3203787"/>
            <a:gd name="connsiteY2" fmla="*/ 0 h 1211380"/>
            <a:gd name="connsiteX0" fmla="*/ 0 w 3203787"/>
            <a:gd name="connsiteY0" fmla="*/ 774669 h 889370"/>
            <a:gd name="connsiteX1" fmla="*/ 1317413 w 3203787"/>
            <a:gd name="connsiteY1" fmla="*/ 886231 h 889370"/>
            <a:gd name="connsiteX2" fmla="*/ 3203787 w 3203787"/>
            <a:gd name="connsiteY2" fmla="*/ 0 h 889370"/>
            <a:gd name="connsiteX0" fmla="*/ 0 w 3203787"/>
            <a:gd name="connsiteY0" fmla="*/ 774669 h 886231"/>
            <a:gd name="connsiteX1" fmla="*/ 1317413 w 3203787"/>
            <a:gd name="connsiteY1" fmla="*/ 886231 h 886231"/>
            <a:gd name="connsiteX2" fmla="*/ 3203787 w 3203787"/>
            <a:gd name="connsiteY2" fmla="*/ 0 h 886231"/>
            <a:gd name="connsiteX0" fmla="*/ 0 w 3203787"/>
            <a:gd name="connsiteY0" fmla="*/ 774669 h 952993"/>
            <a:gd name="connsiteX1" fmla="*/ 1317413 w 3203787"/>
            <a:gd name="connsiteY1" fmla="*/ 886231 h 952993"/>
            <a:gd name="connsiteX2" fmla="*/ 3203787 w 3203787"/>
            <a:gd name="connsiteY2" fmla="*/ 0 h 952993"/>
            <a:gd name="connsiteX0" fmla="*/ 0 w 3203787"/>
            <a:gd name="connsiteY0" fmla="*/ 774673 h 804833"/>
            <a:gd name="connsiteX1" fmla="*/ 1635760 w 3203787"/>
            <a:gd name="connsiteY1" fmla="*/ 531180 h 804833"/>
            <a:gd name="connsiteX2" fmla="*/ 3203787 w 3203787"/>
            <a:gd name="connsiteY2" fmla="*/ 4 h 804833"/>
            <a:gd name="connsiteX0" fmla="*/ 0 w 3203787"/>
            <a:gd name="connsiteY0" fmla="*/ 774669 h 804829"/>
            <a:gd name="connsiteX1" fmla="*/ 1635760 w 3203787"/>
            <a:gd name="connsiteY1" fmla="*/ 531176 h 804829"/>
            <a:gd name="connsiteX2" fmla="*/ 3203787 w 3203787"/>
            <a:gd name="connsiteY2" fmla="*/ 0 h 804829"/>
          </a:gdLst>
          <a:ahLst/>
          <a:cxnLst>
            <a:cxn ang="0">
              <a:pos x="connsiteX0" y="connsiteY0"/>
            </a:cxn>
            <a:cxn ang="0">
              <a:pos x="connsiteX1" y="connsiteY1"/>
            </a:cxn>
            <a:cxn ang="0">
              <a:pos x="connsiteX2" y="connsiteY2"/>
            </a:cxn>
          </a:cxnLst>
          <a:rect l="l" t="t" r="r" b="b"/>
          <a:pathLst>
            <a:path w="3203787" h="804829">
              <a:moveTo>
                <a:pt x="0" y="774669"/>
              </a:moveTo>
              <a:cubicBezTo>
                <a:pt x="30480" y="878809"/>
                <a:pt x="1257582" y="692564"/>
                <a:pt x="1635760" y="531176"/>
              </a:cubicBezTo>
              <a:cubicBezTo>
                <a:pt x="2013938" y="369788"/>
                <a:pt x="2985347" y="450617"/>
                <a:pt x="3203787" y="0"/>
              </a:cubicBezTo>
            </a:path>
          </a:pathLst>
        </a:custGeom>
        <a:noFill/>
        <a:ln w="9525" cap="flat" cmpd="sng" algn="ctr">
          <a:solidFill>
            <a:srgbClr val="000000"/>
          </a:solidFill>
          <a:prstDash val="solid"/>
          <a:round/>
          <a:headEnd type="none" w="med" len="med"/>
          <a:tailEnd type="arrow" w="med" len="med"/>
        </a:ln>
        <a:effectLst>
          <a:glow rad="101600">
            <a:schemeClr val="bg1">
              <a:alpha val="60000"/>
            </a:schemeClr>
          </a:glow>
        </a:effectLst>
      </xdr:spPr>
      <xdr:txBody>
        <a:bodyPr vertOverflow="clip" horzOverflow="clip" wrap="square" lIns="18288" tIns="0" rIns="0" bIns="0" rtlCol="0" anchor="t" upright="1"/>
        <a:lstStyle/>
        <a:p>
          <a:pPr algn="l"/>
          <a:endParaRPr lang="en-US" sz="1100"/>
        </a:p>
      </xdr:txBody>
    </xdr:sp>
    <xdr:clientData/>
  </xdr:twoCellAnchor>
  <xdr:twoCellAnchor editAs="oneCell">
    <xdr:from>
      <xdr:col>1</xdr:col>
      <xdr:colOff>330065</xdr:colOff>
      <xdr:row>91</xdr:row>
      <xdr:rowOff>68580</xdr:rowOff>
    </xdr:from>
    <xdr:to>
      <xdr:col>8</xdr:col>
      <xdr:colOff>241935</xdr:colOff>
      <xdr:row>106</xdr:row>
      <xdr:rowOff>18887</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8"/>
        <a:stretch>
          <a:fillRect/>
        </a:stretch>
      </xdr:blipFill>
      <xdr:spPr>
        <a:xfrm>
          <a:off x="482465" y="27988260"/>
          <a:ext cx="7419475" cy="2523963"/>
        </a:xfrm>
        <a:prstGeom prst="rect">
          <a:avLst/>
        </a:prstGeom>
      </xdr:spPr>
    </xdr:pic>
    <xdr:clientData/>
  </xdr:twoCellAnchor>
  <xdr:twoCellAnchor>
    <xdr:from>
      <xdr:col>1</xdr:col>
      <xdr:colOff>1722120</xdr:colOff>
      <xdr:row>85</xdr:row>
      <xdr:rowOff>30481</xdr:rowOff>
    </xdr:from>
    <xdr:to>
      <xdr:col>2</xdr:col>
      <xdr:colOff>297180</xdr:colOff>
      <xdr:row>86</xdr:row>
      <xdr:rowOff>596817</xdr:rowOff>
    </xdr:to>
    <xdr:sp macro="" textlink="">
      <xdr:nvSpPr>
        <xdr:cNvPr id="17" name="Freeform 16">
          <a:extLst>
            <a:ext uri="{FF2B5EF4-FFF2-40B4-BE49-F238E27FC236}">
              <a16:creationId xmlns:a16="http://schemas.microsoft.com/office/drawing/2014/main" id="{00000000-0008-0000-0000-000011000000}"/>
            </a:ext>
          </a:extLst>
        </xdr:cNvPr>
        <xdr:cNvSpPr/>
      </xdr:nvSpPr>
      <xdr:spPr bwMode="auto">
        <a:xfrm>
          <a:off x="1874520" y="25633681"/>
          <a:ext cx="1097280" cy="1198796"/>
        </a:xfrm>
        <a:custGeom>
          <a:avLst/>
          <a:gdLst>
            <a:gd name="connsiteX0" fmla="*/ 0 w 4792980"/>
            <a:gd name="connsiteY0" fmla="*/ 929640 h 929640"/>
            <a:gd name="connsiteX1" fmla="*/ 160020 w 4792980"/>
            <a:gd name="connsiteY1" fmla="*/ 853440 h 929640"/>
            <a:gd name="connsiteX2" fmla="*/ 3825240 w 4792980"/>
            <a:gd name="connsiteY2" fmla="*/ 769620 h 929640"/>
            <a:gd name="connsiteX3" fmla="*/ 4511040 w 4792980"/>
            <a:gd name="connsiteY3" fmla="*/ 396240 h 929640"/>
            <a:gd name="connsiteX4" fmla="*/ 4792980 w 4792980"/>
            <a:gd name="connsiteY4" fmla="*/ 0 h 929640"/>
            <a:gd name="connsiteX0" fmla="*/ 0 w 4792980"/>
            <a:gd name="connsiteY0" fmla="*/ 929640 h 929640"/>
            <a:gd name="connsiteX1" fmla="*/ 160020 w 4792980"/>
            <a:gd name="connsiteY1" fmla="*/ 853440 h 929640"/>
            <a:gd name="connsiteX2" fmla="*/ 3825240 w 4792980"/>
            <a:gd name="connsiteY2" fmla="*/ 769620 h 929640"/>
            <a:gd name="connsiteX3" fmla="*/ 4511040 w 4792980"/>
            <a:gd name="connsiteY3" fmla="*/ 396240 h 929640"/>
            <a:gd name="connsiteX4" fmla="*/ 4792980 w 4792980"/>
            <a:gd name="connsiteY4" fmla="*/ 0 h 929640"/>
            <a:gd name="connsiteX0" fmla="*/ 0 w 4792980"/>
            <a:gd name="connsiteY0" fmla="*/ 929640 h 929640"/>
            <a:gd name="connsiteX1" fmla="*/ 160020 w 4792980"/>
            <a:gd name="connsiteY1" fmla="*/ 853440 h 929640"/>
            <a:gd name="connsiteX2" fmla="*/ 3825240 w 4792980"/>
            <a:gd name="connsiteY2" fmla="*/ 769620 h 929640"/>
            <a:gd name="connsiteX3" fmla="*/ 4511040 w 4792980"/>
            <a:gd name="connsiteY3" fmla="*/ 396240 h 929640"/>
            <a:gd name="connsiteX4" fmla="*/ 4792980 w 4792980"/>
            <a:gd name="connsiteY4" fmla="*/ 0 h 929640"/>
            <a:gd name="connsiteX0" fmla="*/ 156803 w 4949783"/>
            <a:gd name="connsiteY0" fmla="*/ 929640 h 929640"/>
            <a:gd name="connsiteX1" fmla="*/ 316823 w 4949783"/>
            <a:gd name="connsiteY1" fmla="*/ 853440 h 929640"/>
            <a:gd name="connsiteX2" fmla="*/ 3982043 w 4949783"/>
            <a:gd name="connsiteY2" fmla="*/ 769620 h 929640"/>
            <a:gd name="connsiteX3" fmla="*/ 4667843 w 4949783"/>
            <a:gd name="connsiteY3" fmla="*/ 396240 h 929640"/>
            <a:gd name="connsiteX4" fmla="*/ 4949783 w 4949783"/>
            <a:gd name="connsiteY4" fmla="*/ 0 h 929640"/>
            <a:gd name="connsiteX0" fmla="*/ 156803 w 4949783"/>
            <a:gd name="connsiteY0" fmla="*/ 929640 h 929640"/>
            <a:gd name="connsiteX1" fmla="*/ 316823 w 4949783"/>
            <a:gd name="connsiteY1" fmla="*/ 853440 h 929640"/>
            <a:gd name="connsiteX2" fmla="*/ 3982043 w 4949783"/>
            <a:gd name="connsiteY2" fmla="*/ 769620 h 929640"/>
            <a:gd name="connsiteX3" fmla="*/ 4949783 w 4949783"/>
            <a:gd name="connsiteY3" fmla="*/ 0 h 929640"/>
            <a:gd name="connsiteX0" fmla="*/ 156803 w 4949783"/>
            <a:gd name="connsiteY0" fmla="*/ 929640 h 929640"/>
            <a:gd name="connsiteX1" fmla="*/ 316823 w 4949783"/>
            <a:gd name="connsiteY1" fmla="*/ 853440 h 929640"/>
            <a:gd name="connsiteX2" fmla="*/ 3982043 w 4949783"/>
            <a:gd name="connsiteY2" fmla="*/ 769620 h 929640"/>
            <a:gd name="connsiteX3" fmla="*/ 4949783 w 4949783"/>
            <a:gd name="connsiteY3" fmla="*/ 0 h 929640"/>
            <a:gd name="connsiteX0" fmla="*/ 0 w 4792980"/>
            <a:gd name="connsiteY0" fmla="*/ 929640 h 929640"/>
            <a:gd name="connsiteX1" fmla="*/ 990600 w 4792980"/>
            <a:gd name="connsiteY1" fmla="*/ 784860 h 929640"/>
            <a:gd name="connsiteX2" fmla="*/ 3825240 w 4792980"/>
            <a:gd name="connsiteY2" fmla="*/ 769620 h 929640"/>
            <a:gd name="connsiteX3" fmla="*/ 4792980 w 4792980"/>
            <a:gd name="connsiteY3" fmla="*/ 0 h 929640"/>
            <a:gd name="connsiteX0" fmla="*/ 0 w 4792980"/>
            <a:gd name="connsiteY0" fmla="*/ 929640 h 991444"/>
            <a:gd name="connsiteX1" fmla="*/ 1205668 w 4792980"/>
            <a:gd name="connsiteY1" fmla="*/ 987231 h 991444"/>
            <a:gd name="connsiteX2" fmla="*/ 3825240 w 4792980"/>
            <a:gd name="connsiteY2" fmla="*/ 769620 h 991444"/>
            <a:gd name="connsiteX3" fmla="*/ 4792980 w 4792980"/>
            <a:gd name="connsiteY3" fmla="*/ 0 h 991444"/>
            <a:gd name="connsiteX0" fmla="*/ 0 w 4792980"/>
            <a:gd name="connsiteY0" fmla="*/ 929640 h 991444"/>
            <a:gd name="connsiteX1" fmla="*/ 2803328 w 4792980"/>
            <a:gd name="connsiteY1" fmla="*/ 987231 h 991444"/>
            <a:gd name="connsiteX2" fmla="*/ 3825240 w 4792980"/>
            <a:gd name="connsiteY2" fmla="*/ 769620 h 991444"/>
            <a:gd name="connsiteX3" fmla="*/ 4792980 w 4792980"/>
            <a:gd name="connsiteY3" fmla="*/ 0 h 991444"/>
            <a:gd name="connsiteX0" fmla="*/ 0 w 4792980"/>
            <a:gd name="connsiteY0" fmla="*/ 929640 h 991722"/>
            <a:gd name="connsiteX1" fmla="*/ 2803328 w 4792980"/>
            <a:gd name="connsiteY1" fmla="*/ 987231 h 991722"/>
            <a:gd name="connsiteX2" fmla="*/ 4163206 w 4792980"/>
            <a:gd name="connsiteY2" fmla="*/ 763296 h 991722"/>
            <a:gd name="connsiteX3" fmla="*/ 4792980 w 4792980"/>
            <a:gd name="connsiteY3" fmla="*/ 0 h 991722"/>
            <a:gd name="connsiteX0" fmla="*/ 0 w 4792980"/>
            <a:gd name="connsiteY0" fmla="*/ 929640 h 991722"/>
            <a:gd name="connsiteX1" fmla="*/ 2803328 w 4792980"/>
            <a:gd name="connsiteY1" fmla="*/ 987231 h 991722"/>
            <a:gd name="connsiteX2" fmla="*/ 4163206 w 4792980"/>
            <a:gd name="connsiteY2" fmla="*/ 763296 h 991722"/>
            <a:gd name="connsiteX3" fmla="*/ 4792980 w 4792980"/>
            <a:gd name="connsiteY3" fmla="*/ 0 h 991722"/>
            <a:gd name="connsiteX0" fmla="*/ 0 w 4792980"/>
            <a:gd name="connsiteY0" fmla="*/ 929640 h 991722"/>
            <a:gd name="connsiteX1" fmla="*/ 2803328 w 4792980"/>
            <a:gd name="connsiteY1" fmla="*/ 987231 h 991722"/>
            <a:gd name="connsiteX2" fmla="*/ 4163206 w 4792980"/>
            <a:gd name="connsiteY2" fmla="*/ 763296 h 991722"/>
            <a:gd name="connsiteX3" fmla="*/ 4792980 w 4792980"/>
            <a:gd name="connsiteY3" fmla="*/ 0 h 991722"/>
            <a:gd name="connsiteX0" fmla="*/ 0 w 4792980"/>
            <a:gd name="connsiteY0" fmla="*/ 929640 h 994919"/>
            <a:gd name="connsiteX1" fmla="*/ 2803328 w 4792980"/>
            <a:gd name="connsiteY1" fmla="*/ 987231 h 994919"/>
            <a:gd name="connsiteX2" fmla="*/ 4163206 w 4792980"/>
            <a:gd name="connsiteY2" fmla="*/ 763296 h 994919"/>
            <a:gd name="connsiteX3" fmla="*/ 4792980 w 4792980"/>
            <a:gd name="connsiteY3" fmla="*/ 0 h 994919"/>
          </a:gdLst>
          <a:ahLst/>
          <a:cxnLst>
            <a:cxn ang="0">
              <a:pos x="connsiteX0" y="connsiteY0"/>
            </a:cxn>
            <a:cxn ang="0">
              <a:pos x="connsiteX1" y="connsiteY1"/>
            </a:cxn>
            <a:cxn ang="0">
              <a:pos x="connsiteX2" y="connsiteY2"/>
            </a:cxn>
            <a:cxn ang="0">
              <a:pos x="connsiteX3" y="connsiteY3"/>
            </a:cxn>
          </a:cxnLst>
          <a:rect l="l" t="t" r="r" b="b"/>
          <a:pathLst>
            <a:path w="4792980" h="994919">
              <a:moveTo>
                <a:pt x="0" y="929640"/>
              </a:moveTo>
              <a:cubicBezTo>
                <a:pt x="360582" y="961156"/>
                <a:pt x="2109460" y="1014955"/>
                <a:pt x="2803328" y="987231"/>
              </a:cubicBezTo>
              <a:cubicBezTo>
                <a:pt x="3497196" y="959507"/>
                <a:pt x="3959615" y="887782"/>
                <a:pt x="4163206" y="763296"/>
              </a:cubicBezTo>
              <a:cubicBezTo>
                <a:pt x="4581866" y="575569"/>
                <a:pt x="4629468" y="228917"/>
                <a:pt x="4792980" y="0"/>
              </a:cubicBezTo>
            </a:path>
          </a:pathLst>
        </a:custGeom>
        <a:noFill/>
        <a:ln w="12700" cap="flat" cmpd="sng" algn="ctr">
          <a:solidFill>
            <a:srgbClr val="FF0000"/>
          </a:solidFill>
          <a:prstDash val="solid"/>
          <a:round/>
          <a:headEnd type="none" w="med" len="med"/>
          <a:tailEnd type="arrow" w="med" len="med"/>
        </a:ln>
        <a:effectLst/>
      </xdr:spPr>
      <xdr:txBody>
        <a:bodyPr vertOverflow="clip" horzOverflow="clip" wrap="square" lIns="18288" tIns="0" rIns="0" bIns="0" rtlCol="0" anchor="t" upright="1"/>
        <a:lstStyle/>
        <a:p>
          <a:pPr algn="l"/>
          <a:endParaRPr lang="en-US" sz="1100"/>
        </a:p>
      </xdr:txBody>
    </xdr:sp>
    <xdr:clientData/>
  </xdr:twoCellAnchor>
  <xdr:twoCellAnchor editAs="oneCell">
    <xdr:from>
      <xdr:col>6</xdr:col>
      <xdr:colOff>312420</xdr:colOff>
      <xdr:row>5</xdr:row>
      <xdr:rowOff>62948</xdr:rowOff>
    </xdr:from>
    <xdr:to>
      <xdr:col>8</xdr:col>
      <xdr:colOff>809625</xdr:colOff>
      <xdr:row>9</xdr:row>
      <xdr:rowOff>471782</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9"/>
        <a:stretch>
          <a:fillRect/>
        </a:stretch>
      </xdr:blipFill>
      <xdr:spPr>
        <a:xfrm>
          <a:off x="6208395" y="1529798"/>
          <a:ext cx="2068830" cy="1799484"/>
        </a:xfrm>
        <a:prstGeom prst="rect">
          <a:avLst/>
        </a:prstGeom>
      </xdr:spPr>
    </xdr:pic>
    <xdr:clientData/>
  </xdr:twoCellAnchor>
  <xdr:twoCellAnchor editAs="oneCell">
    <xdr:from>
      <xdr:col>6</xdr:col>
      <xdr:colOff>323850</xdr:colOff>
      <xdr:row>18</xdr:row>
      <xdr:rowOff>161925</xdr:rowOff>
    </xdr:from>
    <xdr:to>
      <xdr:col>8</xdr:col>
      <xdr:colOff>742951</xdr:colOff>
      <xdr:row>20</xdr:row>
      <xdr:rowOff>514351</xdr:rowOff>
    </xdr:to>
    <xdr:pic>
      <xdr:nvPicPr>
        <xdr:cNvPr id="3" name="Picture 2">
          <a:extLst>
            <a:ext uri="{FF2B5EF4-FFF2-40B4-BE49-F238E27FC236}">
              <a16:creationId xmlns:a16="http://schemas.microsoft.com/office/drawing/2014/main" id="{2E07C034-4FA8-4CBE-83EF-DBEE7BAF5BBD}"/>
            </a:ext>
          </a:extLst>
        </xdr:cNvPr>
        <xdr:cNvPicPr>
          <a:picLocks noChangeAspect="1"/>
        </xdr:cNvPicPr>
      </xdr:nvPicPr>
      <xdr:blipFill rotWithShape="1">
        <a:blip xmlns:r="http://schemas.openxmlformats.org/officeDocument/2006/relationships" r:embed="rId10"/>
        <a:srcRect l="7026" t="4773" r="6611" b="16200"/>
        <a:stretch/>
      </xdr:blipFill>
      <xdr:spPr>
        <a:xfrm>
          <a:off x="6219825" y="6781800"/>
          <a:ext cx="1990726" cy="1419226"/>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101600</xdr:rowOff>
    </xdr:from>
    <xdr:to>
      <xdr:col>10</xdr:col>
      <xdr:colOff>947420</xdr:colOff>
      <xdr:row>54</xdr:row>
      <xdr:rowOff>134565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3461" r="3813" b="4247"/>
        <a:stretch/>
      </xdr:blipFill>
      <xdr:spPr>
        <a:xfrm>
          <a:off x="63500" y="101600"/>
          <a:ext cx="7132320" cy="9085525"/>
        </a:xfrm>
        <a:prstGeom prst="rect">
          <a:avLst/>
        </a:prstGeom>
      </xdr:spPr>
    </xdr:pic>
    <xdr:clientData/>
  </xdr:twoCellAnchor>
  <xdr:twoCellAnchor editAs="oneCell">
    <xdr:from>
      <xdr:col>0</xdr:col>
      <xdr:colOff>63500</xdr:colOff>
      <xdr:row>55</xdr:row>
      <xdr:rowOff>76201</xdr:rowOff>
    </xdr:from>
    <xdr:to>
      <xdr:col>10</xdr:col>
      <xdr:colOff>947420</xdr:colOff>
      <xdr:row>109</xdr:row>
      <xdr:rowOff>109166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759" t="3846" r="4469" b="3861"/>
        <a:stretch/>
      </xdr:blipFill>
      <xdr:spPr>
        <a:xfrm>
          <a:off x="63500" y="9296401"/>
          <a:ext cx="7132320" cy="9085525"/>
        </a:xfrm>
        <a:prstGeom prst="rect">
          <a:avLst/>
        </a:prstGeom>
      </xdr:spPr>
    </xdr:pic>
    <xdr:clientData/>
  </xdr:twoCellAnchor>
  <xdr:twoCellAnchor editAs="oneCell">
    <xdr:from>
      <xdr:col>0</xdr:col>
      <xdr:colOff>63500</xdr:colOff>
      <xdr:row>110</xdr:row>
      <xdr:rowOff>76202</xdr:rowOff>
    </xdr:from>
    <xdr:to>
      <xdr:col>10</xdr:col>
      <xdr:colOff>947420</xdr:colOff>
      <xdr:row>164</xdr:row>
      <xdr:rowOff>109167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086" t="3589" r="4143" b="4119"/>
        <a:stretch/>
      </xdr:blipFill>
      <xdr:spPr>
        <a:xfrm>
          <a:off x="63500" y="18516602"/>
          <a:ext cx="7132320" cy="9085525"/>
        </a:xfrm>
        <a:prstGeom prst="rect">
          <a:avLst/>
        </a:prstGeom>
      </xdr:spPr>
    </xdr:pic>
    <xdr:clientData/>
  </xdr:twoCellAnchor>
  <xdr:twoCellAnchor editAs="oneCell">
    <xdr:from>
      <xdr:col>0</xdr:col>
      <xdr:colOff>50800</xdr:colOff>
      <xdr:row>165</xdr:row>
      <xdr:rowOff>63502</xdr:rowOff>
    </xdr:from>
    <xdr:to>
      <xdr:col>10</xdr:col>
      <xdr:colOff>934720</xdr:colOff>
      <xdr:row>219</xdr:row>
      <xdr:rowOff>96467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922" t="3846" r="4306" b="3863"/>
        <a:stretch/>
      </xdr:blipFill>
      <xdr:spPr>
        <a:xfrm>
          <a:off x="50800" y="27724102"/>
          <a:ext cx="7132320" cy="9085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20320</xdr:colOff>
      <xdr:row>0</xdr:row>
      <xdr:rowOff>55881</xdr:rowOff>
    </xdr:from>
    <xdr:to>
      <xdr:col>11</xdr:col>
      <xdr:colOff>370840</xdr:colOff>
      <xdr:row>54</xdr:row>
      <xdr:rowOff>47399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4545" r="3816" b="4536"/>
        <a:stretch/>
      </xdr:blipFill>
      <xdr:spPr>
        <a:xfrm>
          <a:off x="20320" y="55881"/>
          <a:ext cx="7223760" cy="90440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384"/>
  <sheetViews>
    <sheetView tabSelected="1" zoomScaleNormal="100" zoomScaleSheetLayoutView="100" workbookViewId="0">
      <pane ySplit="5" topLeftCell="A6" activePane="bottomLeft" state="frozen"/>
      <selection pane="bottomLeft" activeCell="C9" sqref="C9"/>
    </sheetView>
  </sheetViews>
  <sheetFormatPr defaultColWidth="0" defaultRowHeight="12" zeroHeight="1"/>
  <cols>
    <col min="1" max="1" width="2.28515625" style="38" customWidth="1"/>
    <col min="2" max="2" width="38.28515625" style="38" customWidth="1"/>
    <col min="3" max="3" width="8.42578125" style="38" customWidth="1"/>
    <col min="4" max="4" width="10.85546875" style="38" customWidth="1"/>
    <col min="5" max="5" width="12.7109375" style="38" customWidth="1"/>
    <col min="6" max="6" width="15.85546875" style="38" customWidth="1"/>
    <col min="7" max="7" width="14.42578125" style="38" customWidth="1"/>
    <col min="8" max="8" width="9.140625" style="38" customWidth="1"/>
    <col min="9" max="9" width="16.42578125" style="38" customWidth="1"/>
    <col min="10" max="10" width="2.28515625" style="38" customWidth="1"/>
    <col min="11" max="27" width="12.7109375" style="42" hidden="1" customWidth="1"/>
    <col min="28" max="28" width="7.42578125" style="42" hidden="1" customWidth="1"/>
    <col min="29" max="29" width="30.7109375" style="2" hidden="1" customWidth="1"/>
    <col min="30" max="30" width="49.42578125" style="2" hidden="1" customWidth="1"/>
    <col min="31" max="31" width="12.85546875" style="2" hidden="1" customWidth="1"/>
    <col min="32" max="32" width="22" style="2" hidden="1" customWidth="1"/>
    <col min="33" max="33" width="12.42578125" style="2" hidden="1" customWidth="1"/>
    <col min="34" max="34" width="15" style="2" hidden="1" customWidth="1"/>
    <col min="35" max="35" width="10.7109375" style="2" hidden="1" customWidth="1"/>
    <col min="36" max="36" width="15.85546875" style="2" hidden="1" customWidth="1"/>
    <col min="37" max="37" width="29.7109375" style="2" hidden="1" customWidth="1"/>
    <col min="38" max="38" width="23.42578125" style="2" hidden="1" customWidth="1"/>
    <col min="39" max="39" width="26.140625" style="2" hidden="1" customWidth="1"/>
    <col min="40" max="40" width="26.28515625" style="42" hidden="1" customWidth="1"/>
    <col min="41" max="41" width="11.42578125" style="42" hidden="1" customWidth="1"/>
    <col min="42" max="42" width="11.42578125" style="43" hidden="1" customWidth="1"/>
    <col min="43" max="53" width="11.42578125" style="42" hidden="1" customWidth="1"/>
    <col min="54" max="16384" width="9.140625" style="38" hidden="1"/>
  </cols>
  <sheetData>
    <row r="1" spans="2:42" ht="13.15" customHeight="1">
      <c r="B1" s="342" t="s">
        <v>146</v>
      </c>
      <c r="C1" s="40"/>
      <c r="D1" s="40"/>
      <c r="E1" s="40"/>
      <c r="F1" s="40"/>
      <c r="G1" s="40"/>
      <c r="H1" s="576" t="s">
        <v>371</v>
      </c>
      <c r="I1" s="577"/>
    </row>
    <row r="2" spans="2:42" ht="13.9" customHeight="1" thickBot="1">
      <c r="B2" s="343" t="s">
        <v>147</v>
      </c>
      <c r="C2" s="44"/>
      <c r="D2" s="44"/>
      <c r="E2" s="44"/>
      <c r="F2" s="44"/>
      <c r="G2" s="44"/>
      <c r="H2" s="578" t="s">
        <v>372</v>
      </c>
      <c r="I2" s="579"/>
    </row>
    <row r="3" spans="2:42" ht="26.25">
      <c r="B3" s="504" t="s">
        <v>114</v>
      </c>
      <c r="C3" s="505"/>
      <c r="D3" s="505"/>
      <c r="E3" s="505"/>
      <c r="F3" s="505"/>
      <c r="G3" s="505"/>
      <c r="H3" s="505"/>
      <c r="I3" s="506"/>
      <c r="J3" s="293"/>
      <c r="AC3" s="42"/>
    </row>
    <row r="4" spans="2:42" ht="16.5" thickBot="1">
      <c r="B4" s="476" t="s">
        <v>168</v>
      </c>
      <c r="C4" s="507" t="s">
        <v>166</v>
      </c>
      <c r="D4" s="507"/>
      <c r="E4" s="507"/>
      <c r="F4" s="507"/>
      <c r="G4" s="508" t="s">
        <v>167</v>
      </c>
      <c r="H4" s="508"/>
      <c r="I4" s="509"/>
      <c r="J4" s="283"/>
      <c r="L4" s="46"/>
      <c r="M4" s="46"/>
      <c r="N4" s="46"/>
      <c r="O4" s="46"/>
      <c r="P4" s="46"/>
      <c r="Q4" s="46"/>
      <c r="R4" s="46"/>
      <c r="S4" s="46"/>
      <c r="AA4" s="2"/>
    </row>
    <row r="5" spans="2:42" ht="46.5" thickBot="1">
      <c r="B5" s="288"/>
      <c r="C5" s="337" t="s">
        <v>18</v>
      </c>
      <c r="D5" s="338" t="s">
        <v>80</v>
      </c>
      <c r="E5" s="339" t="s">
        <v>290</v>
      </c>
      <c r="F5" s="339" t="s">
        <v>292</v>
      </c>
      <c r="G5" s="289"/>
      <c r="H5" s="289"/>
      <c r="I5" s="500" t="s">
        <v>479</v>
      </c>
      <c r="AA5" s="2"/>
    </row>
    <row r="6" spans="2:42" ht="22.5" thickBot="1">
      <c r="B6" s="62" t="s">
        <v>477</v>
      </c>
      <c r="C6" s="487"/>
      <c r="D6" s="488"/>
      <c r="E6" s="411"/>
      <c r="F6" s="489"/>
      <c r="I6" s="48"/>
      <c r="AA6" s="2"/>
      <c r="AD6" s="4" t="s">
        <v>18</v>
      </c>
      <c r="AE6" s="5"/>
      <c r="AF6" s="5"/>
      <c r="AG6" s="580" t="s">
        <v>255</v>
      </c>
      <c r="AH6" s="581"/>
      <c r="AI6" s="581"/>
      <c r="AJ6" s="582"/>
      <c r="AK6" s="563" t="s">
        <v>256</v>
      </c>
      <c r="AL6" s="563"/>
      <c r="AM6" s="563"/>
      <c r="AN6" s="564"/>
    </row>
    <row r="7" spans="2:42" ht="16.5" thickBot="1">
      <c r="B7" s="363"/>
      <c r="C7" s="364"/>
      <c r="D7" s="365"/>
      <c r="E7" s="47"/>
      <c r="F7" s="490"/>
      <c r="I7" s="48"/>
      <c r="AA7" s="2"/>
      <c r="AD7" s="6"/>
      <c r="AE7" s="3"/>
      <c r="AF7" s="7" t="s">
        <v>248</v>
      </c>
      <c r="AG7" s="251">
        <f>(C12-C28+0.25)/12</f>
        <v>2.5208333333333335</v>
      </c>
      <c r="AH7" s="252" t="s">
        <v>14</v>
      </c>
      <c r="AI7" s="253">
        <f>$AG$7*0.3048</f>
        <v>0.76835000000000009</v>
      </c>
      <c r="AJ7" s="254" t="s">
        <v>10</v>
      </c>
      <c r="AK7" s="255">
        <f>(C12-C28+C43)/12</f>
        <v>2.5416666666666665</v>
      </c>
      <c r="AL7" s="252" t="s">
        <v>14</v>
      </c>
      <c r="AM7" s="256">
        <f>$AK7*0.3048</f>
        <v>0.77469999999999994</v>
      </c>
      <c r="AN7" s="254" t="s">
        <v>10</v>
      </c>
    </row>
    <row r="8" spans="2:42" ht="35.25" thickBot="1">
      <c r="B8" s="358" t="s">
        <v>467</v>
      </c>
      <c r="C8" s="32">
        <v>64.5</v>
      </c>
      <c r="D8" s="38" t="s">
        <v>0</v>
      </c>
      <c r="E8" s="398" t="s">
        <v>148</v>
      </c>
      <c r="F8" s="491"/>
      <c r="I8" s="48"/>
      <c r="AA8" s="2"/>
      <c r="AD8" s="18"/>
      <c r="AF8" s="7" t="s">
        <v>176</v>
      </c>
      <c r="AG8" s="251">
        <f>(D25+0.5)/12</f>
        <v>4.416666666666667</v>
      </c>
      <c r="AH8" s="252" t="s">
        <v>14</v>
      </c>
      <c r="AI8" s="257">
        <f>$AG$8*0.3048</f>
        <v>1.3462000000000001</v>
      </c>
      <c r="AJ8" s="254" t="s">
        <v>10</v>
      </c>
      <c r="AK8" s="255">
        <f>(D25+2*C43)/12</f>
        <v>4.458333333333333</v>
      </c>
      <c r="AL8" s="252" t="s">
        <v>14</v>
      </c>
      <c r="AM8" s="256">
        <f t="shared" ref="AM8:AM9" si="0">$AK8*0.3048</f>
        <v>1.3589</v>
      </c>
      <c r="AN8" s="254" t="s">
        <v>10</v>
      </c>
    </row>
    <row r="9" spans="2:42" ht="35.25" thickBot="1">
      <c r="B9" s="358" t="s">
        <v>463</v>
      </c>
      <c r="C9" s="161">
        <v>72</v>
      </c>
      <c r="D9" s="38" t="s">
        <v>0</v>
      </c>
      <c r="E9" s="398" t="s">
        <v>160</v>
      </c>
      <c r="F9" s="491"/>
      <c r="I9" s="48"/>
      <c r="AA9" s="2"/>
      <c r="AD9" s="18"/>
      <c r="AF9" s="30" t="s">
        <v>249</v>
      </c>
      <c r="AG9" s="251">
        <f>(C34-C28+0.25)/12</f>
        <v>2.9375</v>
      </c>
      <c r="AH9" s="252" t="s">
        <v>14</v>
      </c>
      <c r="AI9" s="257">
        <f>($C$34- C28+0.25)*0.3048/12</f>
        <v>0.89535000000000009</v>
      </c>
      <c r="AJ9" s="258" t="s">
        <v>10</v>
      </c>
      <c r="AK9" s="259">
        <f>(C34-C28+C43)/12</f>
        <v>2.9583333333333335</v>
      </c>
      <c r="AL9" s="252" t="s">
        <v>14</v>
      </c>
      <c r="AM9" s="256">
        <f t="shared" si="0"/>
        <v>0.90170000000000006</v>
      </c>
      <c r="AN9" s="258" t="s">
        <v>10</v>
      </c>
    </row>
    <row r="10" spans="2:42" ht="37.5">
      <c r="B10" s="359" t="s">
        <v>385</v>
      </c>
      <c r="C10" s="53"/>
      <c r="E10" s="435"/>
      <c r="F10" s="48"/>
      <c r="I10" s="48"/>
      <c r="AA10" s="2"/>
      <c r="AD10" s="18"/>
      <c r="AF10" s="7" t="s">
        <v>19</v>
      </c>
      <c r="AG10" s="260">
        <f>E123</f>
        <v>460.17082754629627</v>
      </c>
      <c r="AH10" s="252" t="s">
        <v>20</v>
      </c>
      <c r="AI10" s="261">
        <f>$AG$10*0.45359702</f>
        <v>208.73211606593389</v>
      </c>
      <c r="AJ10" s="254" t="s">
        <v>15</v>
      </c>
      <c r="AK10" s="262">
        <f>AG10</f>
        <v>460.17082754629627</v>
      </c>
      <c r="AL10" s="252" t="s">
        <v>20</v>
      </c>
      <c r="AM10" s="256">
        <f>$AK$10*0.45359702</f>
        <v>208.73211606593389</v>
      </c>
      <c r="AN10" s="254" t="s">
        <v>15</v>
      </c>
    </row>
    <row r="11" spans="2:42" ht="29.25" thickBot="1">
      <c r="B11" s="360" t="s">
        <v>386</v>
      </c>
      <c r="C11" s="54"/>
      <c r="D11" s="355">
        <f>(C9-C8)/2</f>
        <v>3.75</v>
      </c>
      <c r="E11" s="283" t="s">
        <v>161</v>
      </c>
      <c r="F11" s="48"/>
      <c r="I11" s="48"/>
      <c r="AA11" s="2"/>
      <c r="AD11" s="18"/>
      <c r="AF11" s="176" t="s">
        <v>246</v>
      </c>
      <c r="AG11" s="251">
        <f>AE88/12</f>
        <v>0.8070900902268755</v>
      </c>
      <c r="AH11" s="252" t="s">
        <v>14</v>
      </c>
      <c r="AI11" s="257">
        <f>AG11*0.3048</f>
        <v>0.24600105950115167</v>
      </c>
      <c r="AJ11" s="263" t="s">
        <v>10</v>
      </c>
      <c r="AK11" s="264"/>
      <c r="AL11" s="218"/>
      <c r="AM11" s="264"/>
      <c r="AN11" s="182"/>
    </row>
    <row r="12" spans="2:42" ht="46.5" thickBot="1">
      <c r="B12" s="358" t="s">
        <v>464</v>
      </c>
      <c r="C12" s="32">
        <v>32</v>
      </c>
      <c r="D12" s="38" t="s">
        <v>0</v>
      </c>
      <c r="E12" s="398" t="s">
        <v>149</v>
      </c>
      <c r="F12" s="491"/>
      <c r="I12" s="48"/>
      <c r="AA12" s="2"/>
      <c r="AD12" s="18"/>
      <c r="AF12" s="176" t="s">
        <v>247</v>
      </c>
      <c r="AG12" s="251">
        <f>AE89/12</f>
        <v>0.94442690315878286</v>
      </c>
      <c r="AH12" s="252" t="s">
        <v>14</v>
      </c>
      <c r="AI12" s="257">
        <f>AG12*0.3048</f>
        <v>0.28786132008279702</v>
      </c>
      <c r="AJ12" s="263" t="s">
        <v>10</v>
      </c>
      <c r="AK12" s="220"/>
      <c r="AL12" s="218"/>
      <c r="AM12" s="264"/>
      <c r="AN12" s="182"/>
    </row>
    <row r="13" spans="2:42" ht="56.25" thickBot="1">
      <c r="B13" s="359" t="s">
        <v>381</v>
      </c>
      <c r="C13" s="50"/>
      <c r="E13" s="400"/>
      <c r="F13" s="491"/>
      <c r="I13" s="48"/>
      <c r="AA13" s="2"/>
      <c r="AD13" s="18"/>
      <c r="AF13" s="167" t="s">
        <v>245</v>
      </c>
      <c r="AG13" s="260">
        <f>AI13*0.2248</f>
        <v>876.32075156244343</v>
      </c>
      <c r="AH13" s="252" t="s">
        <v>20</v>
      </c>
      <c r="AI13" s="265">
        <f>9810*($AI$7/2)*($AI$7*$AI$8)</f>
        <v>3898.2239838186983</v>
      </c>
      <c r="AJ13" s="254" t="s">
        <v>17</v>
      </c>
      <c r="AK13" s="219"/>
      <c r="AL13" s="180"/>
      <c r="AM13" s="265">
        <f>9810*($AM$7/2)*($AM$7*$AM$8)</f>
        <v>4000.3097646064048</v>
      </c>
      <c r="AN13" s="254" t="s">
        <v>17</v>
      </c>
    </row>
    <row r="14" spans="2:42" ht="22.5" thickBot="1">
      <c r="B14" s="62" t="s">
        <v>397</v>
      </c>
      <c r="C14" s="63"/>
      <c r="D14" s="40"/>
      <c r="E14" s="40"/>
      <c r="F14" s="41"/>
      <c r="G14" s="98"/>
      <c r="I14" s="48"/>
      <c r="T14" s="46"/>
      <c r="U14" s="46"/>
      <c r="AD14" s="18"/>
      <c r="AF14" s="30" t="s">
        <v>250</v>
      </c>
      <c r="AG14" s="266"/>
      <c r="AH14" s="180"/>
      <c r="AI14" s="267">
        <f>$AI$9-$AI$7/3</f>
        <v>0.63923333333333332</v>
      </c>
      <c r="AJ14" s="254" t="s">
        <v>10</v>
      </c>
      <c r="AK14" s="268"/>
      <c r="AL14" s="224"/>
      <c r="AM14" s="269">
        <f>$AM$9-$AM$7/3</f>
        <v>0.64346666666666674</v>
      </c>
      <c r="AN14" s="270" t="s">
        <v>10</v>
      </c>
      <c r="AP14" s="42"/>
    </row>
    <row r="15" spans="2:42" ht="15">
      <c r="B15" s="363"/>
      <c r="C15" s="37"/>
      <c r="F15" s="48"/>
      <c r="I15" s="48"/>
      <c r="T15" s="46"/>
      <c r="U15" s="46"/>
      <c r="AD15" s="18"/>
      <c r="AF15" s="30" t="s">
        <v>244</v>
      </c>
      <c r="AG15" s="260">
        <f>AI15*0.737</f>
        <v>1836.5116621959464</v>
      </c>
      <c r="AH15" s="252" t="s">
        <v>21</v>
      </c>
      <c r="AI15" s="265">
        <f>AI13*AI14</f>
        <v>2491.8747112563724</v>
      </c>
      <c r="AJ15" s="254" t="s">
        <v>16</v>
      </c>
      <c r="AK15" s="219"/>
      <c r="AL15" s="218"/>
      <c r="AM15" s="271"/>
      <c r="AN15" s="218"/>
      <c r="AP15" s="42"/>
    </row>
    <row r="16" spans="2:42" ht="41.25" thickBot="1">
      <c r="B16" s="358" t="s">
        <v>468</v>
      </c>
      <c r="E16" s="399"/>
      <c r="F16" s="48"/>
      <c r="G16" s="57"/>
      <c r="I16" s="48"/>
      <c r="T16" s="46"/>
      <c r="U16" s="46"/>
      <c r="AD16" s="18"/>
      <c r="AF16" s="30" t="s">
        <v>36</v>
      </c>
      <c r="AG16" s="272">
        <f>AH88</f>
        <v>2274.800451829502</v>
      </c>
      <c r="AH16" s="252" t="s">
        <v>20</v>
      </c>
      <c r="AI16" s="265">
        <f>AH88*0.4536</f>
        <v>1031.849484949862</v>
      </c>
      <c r="AJ16" s="254" t="s">
        <v>15</v>
      </c>
      <c r="AK16" s="184"/>
      <c r="AL16" s="180"/>
      <c r="AM16" s="271"/>
      <c r="AN16" s="218"/>
      <c r="AP16" s="42"/>
    </row>
    <row r="17" spans="2:42" ht="24" thickBot="1">
      <c r="B17" s="357" t="s">
        <v>398</v>
      </c>
      <c r="C17" s="32">
        <v>2</v>
      </c>
      <c r="D17" s="38" t="s">
        <v>0</v>
      </c>
      <c r="E17" s="398" t="s">
        <v>188</v>
      </c>
      <c r="F17" s="48"/>
      <c r="G17" s="57"/>
      <c r="I17" s="48"/>
      <c r="T17" s="46"/>
      <c r="U17" s="46"/>
      <c r="AD17" s="18"/>
      <c r="AF17" s="30" t="s">
        <v>35</v>
      </c>
      <c r="AG17" s="260">
        <f>AH88*AE88/12</f>
        <v>1835.9689019152099</v>
      </c>
      <c r="AH17" s="252" t="s">
        <v>21</v>
      </c>
      <c r="AI17" s="265">
        <f>(9.81*($AI$16))*(($AI$11-$AI$12*TAN($AD$27*(3.14/180)))*COS($AD$27*(3.14/180)))</f>
        <v>2490.1318127905947</v>
      </c>
      <c r="AJ17" s="254" t="s">
        <v>16</v>
      </c>
      <c r="AK17" s="219"/>
      <c r="AL17" s="218"/>
      <c r="AM17" s="273"/>
      <c r="AN17" s="218"/>
      <c r="AP17" s="42"/>
    </row>
    <row r="18" spans="2:42" ht="24" thickBot="1">
      <c r="B18" s="357" t="s">
        <v>399</v>
      </c>
      <c r="C18" s="32">
        <v>8</v>
      </c>
      <c r="D18" s="38" t="s">
        <v>0</v>
      </c>
      <c r="E18" s="398" t="s">
        <v>253</v>
      </c>
      <c r="F18" s="48"/>
      <c r="G18" s="57"/>
      <c r="I18" s="48"/>
      <c r="T18" s="46"/>
      <c r="U18" s="46"/>
      <c r="AD18" s="18"/>
      <c r="AF18" s="176" t="s">
        <v>236</v>
      </c>
      <c r="AG18" s="274">
        <f>AI18*0.737</f>
        <v>114.28224249720009</v>
      </c>
      <c r="AH18" s="275" t="s">
        <v>21</v>
      </c>
      <c r="AI18" s="276">
        <f>ABS(AG49-AI49)</f>
        <v>155.06410108168262</v>
      </c>
      <c r="AJ18" s="277" t="s">
        <v>16</v>
      </c>
      <c r="AK18" s="180"/>
      <c r="AL18" s="179"/>
      <c r="AM18" s="278"/>
      <c r="AN18" s="180"/>
      <c r="AP18" s="42"/>
    </row>
    <row r="19" spans="2:42" ht="53.25" thickBot="1">
      <c r="B19" s="359" t="s">
        <v>400</v>
      </c>
      <c r="E19" s="399"/>
      <c r="F19" s="48"/>
      <c r="G19" s="57"/>
      <c r="I19" s="48"/>
      <c r="T19" s="46"/>
      <c r="U19" s="46"/>
      <c r="AD19" s="18"/>
      <c r="AF19" s="7"/>
      <c r="AI19" s="11"/>
      <c r="AJ19" s="8"/>
    </row>
    <row r="20" spans="2:42" ht="30.75" thickBot="1">
      <c r="B20" s="358" t="s">
        <v>465</v>
      </c>
      <c r="C20" s="32">
        <v>2</v>
      </c>
      <c r="D20" s="38" t="s">
        <v>0</v>
      </c>
      <c r="E20" s="398" t="s">
        <v>190</v>
      </c>
      <c r="F20" s="48"/>
      <c r="I20" s="48"/>
      <c r="U20" s="46"/>
      <c r="AD20" s="6"/>
      <c r="AF20" s="7"/>
      <c r="AG20" s="180"/>
      <c r="AH20" s="180"/>
      <c r="AI20" s="218"/>
      <c r="AJ20" s="218"/>
      <c r="AK20" s="565" t="s">
        <v>255</v>
      </c>
      <c r="AL20" s="566"/>
      <c r="AM20" s="565" t="s">
        <v>256</v>
      </c>
      <c r="AN20" s="566"/>
    </row>
    <row r="21" spans="2:42" ht="61.5">
      <c r="B21" s="359" t="s">
        <v>466</v>
      </c>
      <c r="E21" s="398"/>
      <c r="F21" s="48"/>
      <c r="I21" s="48"/>
      <c r="U21" s="46"/>
      <c r="AD21" s="6"/>
      <c r="AF21" s="7"/>
      <c r="AG21" s="180"/>
      <c r="AH21" s="180"/>
      <c r="AI21" s="219"/>
      <c r="AJ21" s="220"/>
      <c r="AK21" s="194"/>
      <c r="AL21" s="190"/>
      <c r="AM21" s="194"/>
      <c r="AN21" s="190"/>
      <c r="AO21" s="169"/>
    </row>
    <row r="22" spans="2:42" ht="25.5">
      <c r="B22" s="360" t="s">
        <v>401</v>
      </c>
      <c r="D22" s="52">
        <f>D11-C20</f>
        <v>1.75</v>
      </c>
      <c r="F22" s="493"/>
      <c r="G22" s="57"/>
      <c r="I22" s="48"/>
      <c r="U22" s="46"/>
      <c r="AC22" s="12"/>
      <c r="AD22" s="6"/>
      <c r="AF22" s="7"/>
      <c r="AG22" s="221"/>
      <c r="AH22" s="180"/>
      <c r="AI22" s="219"/>
      <c r="AJ22" s="220"/>
      <c r="AK22" s="222">
        <f>9810*(($AI$7+AK23)/2)*(($AI$7+AK23)*$AI$8)</f>
        <v>4103.8052416926985</v>
      </c>
      <c r="AL22" s="223">
        <f>9810*(($AI$7+AL23)/2)*(($AI$7+AL23)*$AI$8)</f>
        <v>3697.9252147446987</v>
      </c>
      <c r="AM22" s="222">
        <f>9810*(($AM$7+AM23)/2)*(($AM$7+AM23)*$AM$8)</f>
        <v>4209.5234810524043</v>
      </c>
      <c r="AN22" s="223">
        <f>9810*(($AM$7+AN23)/2)*(($AM$7+AN23)*$AM$8)</f>
        <v>3796.4283717604044</v>
      </c>
      <c r="AO22" s="169" t="s">
        <v>237</v>
      </c>
    </row>
    <row r="23" spans="2:42" ht="26.25" thickBot="1">
      <c r="B23" s="360" t="s">
        <v>402</v>
      </c>
      <c r="D23" s="52">
        <f>C18-C20</f>
        <v>6</v>
      </c>
      <c r="F23" s="48"/>
      <c r="G23" s="57"/>
      <c r="I23" s="48"/>
      <c r="T23" s="46"/>
      <c r="U23" s="46"/>
      <c r="AD23" s="9"/>
      <c r="AE23" s="175"/>
      <c r="AF23" s="10"/>
      <c r="AG23" s="224"/>
      <c r="AH23" s="224"/>
      <c r="AI23" s="225"/>
      <c r="AJ23" s="226"/>
      <c r="AK23" s="227">
        <v>0.02</v>
      </c>
      <c r="AL23" s="228">
        <v>-0.02</v>
      </c>
      <c r="AM23" s="227">
        <f>AK23</f>
        <v>0.02</v>
      </c>
      <c r="AN23" s="228">
        <f>AL23</f>
        <v>-0.02</v>
      </c>
      <c r="AO23" s="170" t="s">
        <v>238</v>
      </c>
    </row>
    <row r="24" spans="2:42" ht="20.25" thickBot="1">
      <c r="B24" s="360" t="s">
        <v>387</v>
      </c>
      <c r="C24" s="54"/>
      <c r="D24" s="355">
        <f>C8+C20*2</f>
        <v>68.5</v>
      </c>
      <c r="E24" s="283" t="s">
        <v>169</v>
      </c>
      <c r="F24" s="494" t="s">
        <v>169</v>
      </c>
      <c r="I24" s="48"/>
      <c r="T24" s="46"/>
      <c r="U24" s="46"/>
      <c r="AD24" s="6"/>
      <c r="AF24" s="7"/>
      <c r="AG24" s="180"/>
      <c r="AH24" s="180"/>
      <c r="AI24" s="219"/>
      <c r="AJ24" s="220"/>
      <c r="AK24" s="184"/>
      <c r="AL24" s="184"/>
      <c r="AM24" s="184"/>
      <c r="AN24" s="233"/>
      <c r="AO24" s="170"/>
    </row>
    <row r="25" spans="2:42" ht="37.5">
      <c r="B25" s="360" t="s">
        <v>390</v>
      </c>
      <c r="C25" s="34"/>
      <c r="D25" s="52">
        <f>D24-2*C18</f>
        <v>52.5</v>
      </c>
      <c r="E25" s="283" t="s">
        <v>145</v>
      </c>
      <c r="F25" s="48"/>
      <c r="G25" s="57"/>
      <c r="I25" s="48"/>
      <c r="L25" s="46"/>
      <c r="O25" s="46"/>
      <c r="P25" s="46"/>
      <c r="Q25" s="46"/>
      <c r="R25" s="46"/>
      <c r="S25" s="46"/>
      <c r="T25" s="46"/>
      <c r="U25" s="46"/>
      <c r="AD25" s="192"/>
      <c r="AE25" s="189" t="s">
        <v>8</v>
      </c>
      <c r="AF25" s="189" t="s">
        <v>8</v>
      </c>
      <c r="AG25" s="229" t="s">
        <v>233</v>
      </c>
      <c r="AH25" s="230" t="s">
        <v>9</v>
      </c>
      <c r="AI25" s="231" t="s">
        <v>13</v>
      </c>
      <c r="AJ25" s="232"/>
      <c r="AK25" s="184" t="s">
        <v>257</v>
      </c>
      <c r="AL25" s="179" t="s">
        <v>258</v>
      </c>
      <c r="AM25" s="184" t="s">
        <v>240</v>
      </c>
      <c r="AN25" s="233" t="s">
        <v>242</v>
      </c>
    </row>
    <row r="26" spans="2:42" ht="41.25" thickBot="1">
      <c r="B26" s="358" t="s">
        <v>469</v>
      </c>
      <c r="E26" s="399"/>
      <c r="F26" s="48"/>
      <c r="G26" s="57"/>
      <c r="I26" s="48"/>
      <c r="L26" s="46"/>
      <c r="M26" s="46"/>
      <c r="N26" s="46"/>
      <c r="O26" s="46"/>
      <c r="P26" s="46"/>
      <c r="Q26" s="46"/>
      <c r="R26" s="46"/>
      <c r="S26" s="46"/>
      <c r="T26" s="46"/>
      <c r="U26" s="46"/>
      <c r="AD26" s="13" t="s">
        <v>11</v>
      </c>
      <c r="AE26" s="14" t="s">
        <v>231</v>
      </c>
      <c r="AF26" s="14" t="s">
        <v>12</v>
      </c>
      <c r="AG26" s="213" t="s">
        <v>231</v>
      </c>
      <c r="AH26" s="216" t="s">
        <v>12</v>
      </c>
      <c r="AI26" s="234" t="s">
        <v>232</v>
      </c>
      <c r="AJ26" s="191"/>
      <c r="AK26" s="184" t="s">
        <v>239</v>
      </c>
      <c r="AL26" s="179" t="s">
        <v>239</v>
      </c>
      <c r="AM26" s="184" t="s">
        <v>241</v>
      </c>
      <c r="AN26" s="233" t="s">
        <v>243</v>
      </c>
    </row>
    <row r="27" spans="2:42" ht="19.5" thickBot="1">
      <c r="B27" s="357" t="s">
        <v>393</v>
      </c>
      <c r="C27" s="32">
        <v>2</v>
      </c>
      <c r="D27" s="38" t="s">
        <v>0</v>
      </c>
      <c r="E27" s="398" t="s">
        <v>193</v>
      </c>
      <c r="F27" s="48"/>
      <c r="G27" s="57"/>
      <c r="I27" s="48"/>
      <c r="L27" s="46"/>
      <c r="M27" s="46"/>
      <c r="N27" s="46"/>
      <c r="O27" s="46"/>
      <c r="P27" s="46"/>
      <c r="Q27" s="46"/>
      <c r="R27" s="46"/>
      <c r="S27" s="46"/>
      <c r="T27" s="46"/>
      <c r="U27" s="46"/>
      <c r="AD27" s="171">
        <v>0</v>
      </c>
      <c r="AE27" s="214">
        <f t="shared" ref="AE27" si="1">$AI$13*(1-0.024*$AD27)*($AI$9-($AI$7/3*(1+0.009*$AD27)))</f>
        <v>2491.8747112563724</v>
      </c>
      <c r="AF27" s="168">
        <f t="shared" ref="AF27:AF47" si="2">AE27*0.737</f>
        <v>1836.5116621959464</v>
      </c>
      <c r="AG27" s="214">
        <f t="shared" ref="AG27:AG47" si="3">(9.81*(AI$16))*(($AI$11-($AI$12*TAN(AD27*(PI()/180))))*COS(AD27*(PI()/180)))</f>
        <v>2490.1318127905947</v>
      </c>
      <c r="AH27" s="214">
        <f t="shared" ref="AH27:AH47" si="4">AG27*0.737</f>
        <v>1835.2271460266684</v>
      </c>
      <c r="AI27" s="214">
        <f t="shared" ref="AI27:AI47" si="5">IF(AG27&gt;0,AE27-AG27,0)</f>
        <v>1.7428984657776709</v>
      </c>
      <c r="AJ27" s="197"/>
      <c r="AK27" s="235">
        <f>$AK$22*(1-0.024*$AD27)*($AI$9-(($AI$7/3)*(1+0.009*$AD27)))-$AE27</f>
        <v>131.41439274165668</v>
      </c>
      <c r="AL27" s="236">
        <f>$AL$22*(1-0.024*$AD27)*($AI$9-(($AI$7/3)*(1+0.009*$AD27)))-$AE27</f>
        <v>-128.03764981773611</v>
      </c>
      <c r="AM27" s="237">
        <f t="shared" ref="AM27:AM47" si="6">(AK27-AL27)/(AK$23-AL$23)/100</f>
        <v>64.863010639848198</v>
      </c>
      <c r="AN27" s="238">
        <f t="shared" ref="AN27:AN37" si="7">IF($AD27&gt;$E$127, 0,AI27/AM27)</f>
        <v>2.6870452798669998E-2</v>
      </c>
    </row>
    <row r="28" spans="2:42" ht="19.5" thickBot="1">
      <c r="B28" s="357" t="s">
        <v>394</v>
      </c>
      <c r="C28" s="32">
        <v>2</v>
      </c>
      <c r="D28" s="38" t="s">
        <v>0</v>
      </c>
      <c r="E28" s="398" t="s">
        <v>194</v>
      </c>
      <c r="F28" s="48"/>
      <c r="G28" s="57"/>
      <c r="I28" s="48"/>
      <c r="L28" s="46"/>
      <c r="M28" s="46"/>
      <c r="N28" s="46"/>
      <c r="O28" s="46"/>
      <c r="P28" s="46"/>
      <c r="Q28" s="46"/>
      <c r="R28" s="46"/>
      <c r="S28" s="46"/>
      <c r="T28" s="46"/>
      <c r="U28" s="46"/>
      <c r="AD28" s="171">
        <v>2</v>
      </c>
      <c r="AE28" s="214">
        <f>$AM$13*(1-0.024*$AD28)*($AM$9-($AM$7/3*(1+0.009*$AD28)))</f>
        <v>2432.8091060167153</v>
      </c>
      <c r="AF28" s="168">
        <f t="shared" si="2"/>
        <v>1792.9803111343192</v>
      </c>
      <c r="AG28" s="214">
        <f t="shared" si="3"/>
        <v>2386.9226466403925</v>
      </c>
      <c r="AH28" s="214">
        <f t="shared" si="4"/>
        <v>1759.1619905739692</v>
      </c>
      <c r="AI28" s="214">
        <f t="shared" si="5"/>
        <v>45.886459376322819</v>
      </c>
      <c r="AJ28" s="197"/>
      <c r="AK28" s="235">
        <f t="shared" ref="AK28:AK47" si="8">$AM$22*(1-0.024*$AD28)*($AM$9-(($AM$7/3)*(1+0.009*$AD28)))-$AE28</f>
        <v>127.23440543947618</v>
      </c>
      <c r="AL28" s="236">
        <f t="shared" ref="AL28:AL47" si="9">$AN$22*(1-0.024*$AD28)*($AM$9-(($AM$7/3)*(1+0.009*$AD28)))-$AE28</f>
        <v>-123.99152521927863</v>
      </c>
      <c r="AM28" s="237">
        <f t="shared" si="6"/>
        <v>62.806482664688701</v>
      </c>
      <c r="AN28" s="238">
        <f t="shared" si="7"/>
        <v>0.73060068689567415</v>
      </c>
    </row>
    <row r="29" spans="2:42" ht="53.25">
      <c r="B29" s="359" t="s">
        <v>403</v>
      </c>
      <c r="C29" s="50"/>
      <c r="E29" s="292"/>
      <c r="F29" s="48"/>
      <c r="G29" s="57"/>
      <c r="I29" s="48"/>
      <c r="L29" s="46"/>
      <c r="M29" s="56"/>
      <c r="N29" s="46"/>
      <c r="O29" s="46"/>
      <c r="P29" s="46"/>
      <c r="Q29" s="46"/>
      <c r="R29" s="46"/>
      <c r="S29" s="46"/>
      <c r="T29" s="46"/>
      <c r="U29" s="46"/>
      <c r="AD29" s="171">
        <v>4</v>
      </c>
      <c r="AE29" s="214">
        <f t="shared" ref="AE29:AE47" si="10">$AM$13*(1-0.024*$AD29)*($AM$9-($AM$7/3*(1+0.009*$AD29)))</f>
        <v>2293.3372691934219</v>
      </c>
      <c r="AF29" s="168">
        <f t="shared" si="2"/>
        <v>1690.1895673955519</v>
      </c>
      <c r="AG29" s="214">
        <f t="shared" si="3"/>
        <v>2280.8053829225059</v>
      </c>
      <c r="AH29" s="214">
        <f t="shared" si="4"/>
        <v>1680.9535672138868</v>
      </c>
      <c r="AI29" s="214">
        <f t="shared" si="5"/>
        <v>12.531886270915948</v>
      </c>
      <c r="AJ29" s="197"/>
      <c r="AK29" s="235">
        <f t="shared" si="8"/>
        <v>119.9401149873911</v>
      </c>
      <c r="AL29" s="236">
        <f t="shared" si="9"/>
        <v>-116.88314761164565</v>
      </c>
      <c r="AM29" s="237">
        <f t="shared" si="6"/>
        <v>59.205815649759188</v>
      </c>
      <c r="AN29" s="238">
        <f t="shared" si="7"/>
        <v>0.21166647454111917</v>
      </c>
    </row>
    <row r="30" spans="2:42" ht="25.5">
      <c r="B30" s="360" t="s">
        <v>476</v>
      </c>
      <c r="D30" s="499">
        <f>(C8-(D25+2*C27))/2</f>
        <v>4</v>
      </c>
      <c r="F30" s="493"/>
      <c r="G30" s="57"/>
      <c r="I30" s="48"/>
      <c r="L30" s="46"/>
      <c r="O30" s="46"/>
      <c r="P30" s="46"/>
      <c r="T30" s="46"/>
      <c r="U30" s="46"/>
      <c r="AD30" s="171">
        <v>6</v>
      </c>
      <c r="AE30" s="214">
        <f t="shared" si="10"/>
        <v>2155.6504793955219</v>
      </c>
      <c r="AF30" s="168">
        <f t="shared" si="2"/>
        <v>1588.7144033144996</v>
      </c>
      <c r="AG30" s="214">
        <f t="shared" si="3"/>
        <v>2171.9093091766649</v>
      </c>
      <c r="AH30" s="214">
        <f t="shared" si="4"/>
        <v>1600.697160863202</v>
      </c>
      <c r="AI30" s="214">
        <f t="shared" si="5"/>
        <v>-16.258829781143049</v>
      </c>
      <c r="AJ30" s="197"/>
      <c r="AK30" s="235">
        <f t="shared" si="8"/>
        <v>112.73918138619729</v>
      </c>
      <c r="AL30" s="236">
        <f t="shared" si="9"/>
        <v>-109.86574742707467</v>
      </c>
      <c r="AM30" s="237">
        <f t="shared" si="6"/>
        <v>55.651232203317988</v>
      </c>
      <c r="AN30" s="238">
        <f t="shared" si="7"/>
        <v>-0.29215579129932867</v>
      </c>
    </row>
    <row r="31" spans="2:42" ht="26.25" thickBot="1">
      <c r="B31" s="359" t="s">
        <v>478</v>
      </c>
      <c r="D31" s="499"/>
      <c r="F31" s="493"/>
      <c r="G31" s="57"/>
      <c r="I31" s="48"/>
      <c r="T31" s="46"/>
      <c r="U31" s="46"/>
      <c r="AD31" s="171">
        <v>8</v>
      </c>
      <c r="AE31" s="214">
        <f t="shared" si="10"/>
        <v>2019.7487366230141</v>
      </c>
      <c r="AF31" s="168">
        <f t="shared" si="2"/>
        <v>1488.5548188911614</v>
      </c>
      <c r="AG31" s="214">
        <f t="shared" si="3"/>
        <v>2060.3670984945747</v>
      </c>
      <c r="AH31" s="214">
        <f t="shared" si="4"/>
        <v>1518.4905515905016</v>
      </c>
      <c r="AI31" s="214">
        <f t="shared" si="5"/>
        <v>-40.618361871560637</v>
      </c>
      <c r="AJ31" s="197"/>
      <c r="AK31" s="235">
        <f t="shared" si="8"/>
        <v>105.63160463589497</v>
      </c>
      <c r="AL31" s="236">
        <f t="shared" si="9"/>
        <v>-102.93932466556521</v>
      </c>
      <c r="AM31" s="237">
        <f t="shared" si="6"/>
        <v>52.142732325365039</v>
      </c>
      <c r="AN31" s="238">
        <f t="shared" si="7"/>
        <v>-0.77898414716947373</v>
      </c>
    </row>
    <row r="32" spans="2:42" ht="22.5" thickBot="1">
      <c r="B32" s="62" t="s">
        <v>380</v>
      </c>
      <c r="C32" s="63"/>
      <c r="D32" s="40"/>
      <c r="E32" s="40"/>
      <c r="F32" s="41"/>
      <c r="G32" s="98"/>
      <c r="I32" s="48"/>
      <c r="T32" s="46"/>
      <c r="U32" s="46"/>
      <c r="AD32" s="171">
        <v>10</v>
      </c>
      <c r="AE32" s="214">
        <f t="shared" si="10"/>
        <v>1885.6320408759002</v>
      </c>
      <c r="AF32" s="168">
        <f t="shared" si="2"/>
        <v>1389.7108141255385</v>
      </c>
      <c r="AG32" s="214">
        <f t="shared" si="3"/>
        <v>1946.3146478781894</v>
      </c>
      <c r="AH32" s="214">
        <f t="shared" si="4"/>
        <v>1434.4338954862255</v>
      </c>
      <c r="AI32" s="214">
        <f t="shared" si="5"/>
        <v>-60.68260700228916</v>
      </c>
      <c r="AJ32" s="197"/>
      <c r="AK32" s="235">
        <f t="shared" si="8"/>
        <v>98.617384736483473</v>
      </c>
      <c r="AL32" s="236">
        <f t="shared" si="9"/>
        <v>-96.103879327117738</v>
      </c>
      <c r="AM32" s="237">
        <f t="shared" si="6"/>
        <v>48.680316015900296</v>
      </c>
      <c r="AN32" s="238">
        <f t="shared" si="7"/>
        <v>-1.2465532677</v>
      </c>
    </row>
    <row r="33" spans="2:42" ht="15.75" thickBot="1">
      <c r="B33" s="363"/>
      <c r="C33" s="364"/>
      <c r="D33" s="365"/>
      <c r="E33" s="47"/>
      <c r="F33" s="490"/>
      <c r="I33" s="48"/>
      <c r="T33" s="46"/>
      <c r="U33" s="46"/>
      <c r="AD33" s="171">
        <v>12</v>
      </c>
      <c r="AE33" s="214">
        <f t="shared" si="10"/>
        <v>1753.3003921541783</v>
      </c>
      <c r="AF33" s="168">
        <f t="shared" si="2"/>
        <v>1292.1823890176295</v>
      </c>
      <c r="AG33" s="214">
        <f t="shared" si="3"/>
        <v>1829.8909126701537</v>
      </c>
      <c r="AH33" s="214">
        <f t="shared" si="4"/>
        <v>1348.6296026379032</v>
      </c>
      <c r="AI33" s="214">
        <f t="shared" si="5"/>
        <v>-76.590520515975413</v>
      </c>
      <c r="AJ33" s="197"/>
      <c r="AK33" s="235">
        <f t="shared" si="8"/>
        <v>91.696521687963468</v>
      </c>
      <c r="AL33" s="236">
        <f t="shared" si="9"/>
        <v>-89.359411411732253</v>
      </c>
      <c r="AM33" s="237">
        <f t="shared" si="6"/>
        <v>45.26398327492393</v>
      </c>
      <c r="AN33" s="238">
        <f t="shared" si="7"/>
        <v>-1.6920852955158778</v>
      </c>
    </row>
    <row r="34" spans="2:42" ht="35.25" thickBot="1">
      <c r="B34" s="358" t="s">
        <v>470</v>
      </c>
      <c r="C34" s="32">
        <v>37</v>
      </c>
      <c r="D34" s="38" t="s">
        <v>0</v>
      </c>
      <c r="E34" s="398" t="s">
        <v>150</v>
      </c>
      <c r="F34" s="491"/>
      <c r="I34" s="48"/>
      <c r="T34" s="58"/>
      <c r="U34" s="46"/>
      <c r="AD34" s="171">
        <v>14</v>
      </c>
      <c r="AE34" s="214">
        <f t="shared" si="10"/>
        <v>1622.7537904578501</v>
      </c>
      <c r="AF34" s="168">
        <f t="shared" si="2"/>
        <v>1195.9695435674355</v>
      </c>
      <c r="AG34" s="214">
        <f t="shared" si="3"/>
        <v>1711.2377372581163</v>
      </c>
      <c r="AH34" s="214">
        <f t="shared" si="4"/>
        <v>1261.1822123592317</v>
      </c>
      <c r="AI34" s="214">
        <f t="shared" si="5"/>
        <v>-88.483946800266267</v>
      </c>
      <c r="AJ34" s="197"/>
      <c r="AK34" s="235">
        <f t="shared" si="8"/>
        <v>84.869015490334959</v>
      </c>
      <c r="AL34" s="236">
        <f t="shared" si="9"/>
        <v>-82.705920919408072</v>
      </c>
      <c r="AM34" s="237">
        <f t="shared" si="6"/>
        <v>41.893734102435758</v>
      </c>
      <c r="AN34" s="238">
        <f t="shared" si="7"/>
        <v>-2.1121045592143024</v>
      </c>
      <c r="AP34" s="42"/>
    </row>
    <row r="35" spans="2:42" ht="30">
      <c r="B35" s="354" t="s">
        <v>383</v>
      </c>
      <c r="C35" s="50"/>
      <c r="E35" s="400"/>
      <c r="F35" s="491"/>
      <c r="I35" s="48"/>
      <c r="T35" s="46"/>
      <c r="U35" s="46"/>
      <c r="AD35" s="171">
        <v>16</v>
      </c>
      <c r="AE35" s="214">
        <f t="shared" si="10"/>
        <v>1493.9922357869145</v>
      </c>
      <c r="AF35" s="168">
        <f t="shared" si="2"/>
        <v>1101.0722777749561</v>
      </c>
      <c r="AG35" s="214">
        <f t="shared" si="3"/>
        <v>1590.4996822591957</v>
      </c>
      <c r="AH35" s="214">
        <f t="shared" si="4"/>
        <v>1172.1982658250272</v>
      </c>
      <c r="AI35" s="214">
        <f t="shared" si="5"/>
        <v>-96.507446472281117</v>
      </c>
      <c r="AJ35" s="197"/>
      <c r="AK35" s="235">
        <f t="shared" si="8"/>
        <v>78.134866143597719</v>
      </c>
      <c r="AL35" s="236">
        <f t="shared" si="9"/>
        <v>-76.143407850145877</v>
      </c>
      <c r="AM35" s="237">
        <f t="shared" si="6"/>
        <v>38.569568498435899</v>
      </c>
      <c r="AN35" s="238">
        <f t="shared" si="7"/>
        <v>-2.502165573260037</v>
      </c>
    </row>
    <row r="36" spans="2:42" ht="45.75">
      <c r="B36" s="360" t="s">
        <v>384</v>
      </c>
      <c r="C36" s="35"/>
      <c r="D36" s="355">
        <f>C34-C12</f>
        <v>5</v>
      </c>
      <c r="E36" s="401" t="s">
        <v>76</v>
      </c>
      <c r="F36" s="493" t="s">
        <v>76</v>
      </c>
      <c r="I36" s="48"/>
      <c r="T36" s="46"/>
      <c r="U36" s="46"/>
      <c r="AD36" s="171">
        <v>18</v>
      </c>
      <c r="AE36" s="214">
        <f t="shared" si="10"/>
        <v>1367.0157281413726</v>
      </c>
      <c r="AF36" s="168">
        <f t="shared" si="2"/>
        <v>1007.4905916401916</v>
      </c>
      <c r="AG36" s="214">
        <f t="shared" si="3"/>
        <v>1467.8238483951368</v>
      </c>
      <c r="AH36" s="214">
        <f t="shared" si="4"/>
        <v>1081.7861762672158</v>
      </c>
      <c r="AI36" s="214">
        <f t="shared" si="5"/>
        <v>-100.80812025376417</v>
      </c>
      <c r="AJ36" s="197"/>
      <c r="AK36" s="235">
        <f t="shared" si="8"/>
        <v>71.494073647751748</v>
      </c>
      <c r="AL36" s="236">
        <f t="shared" si="9"/>
        <v>-69.671872203945441</v>
      </c>
      <c r="AM36" s="237">
        <f t="shared" si="6"/>
        <v>35.291486462924297</v>
      </c>
      <c r="AN36" s="238">
        <f t="shared" si="7"/>
        <v>-2.8564430223042265</v>
      </c>
    </row>
    <row r="37" spans="2:42" ht="35.25" thickBot="1">
      <c r="B37" s="360" t="s">
        <v>461</v>
      </c>
      <c r="C37" s="33"/>
      <c r="D37" s="355">
        <f>C12+D36-C85/2</f>
        <v>36</v>
      </c>
      <c r="E37" s="401" t="s">
        <v>144</v>
      </c>
      <c r="F37" s="493" t="s">
        <v>144</v>
      </c>
      <c r="I37" s="48"/>
      <c r="T37" s="46"/>
      <c r="U37" s="46"/>
      <c r="AD37" s="171">
        <v>20</v>
      </c>
      <c r="AE37" s="214">
        <f t="shared" si="10"/>
        <v>1241.8242675212225</v>
      </c>
      <c r="AF37" s="168">
        <f t="shared" si="2"/>
        <v>915.22448516314103</v>
      </c>
      <c r="AG37" s="214">
        <f t="shared" si="3"/>
        <v>1343.3596972727394</v>
      </c>
      <c r="AH37" s="214">
        <f t="shared" si="4"/>
        <v>990.05609689000892</v>
      </c>
      <c r="AI37" s="214">
        <f t="shared" si="5"/>
        <v>-101.53542975151686</v>
      </c>
      <c r="AJ37" s="197"/>
      <c r="AK37" s="235">
        <f t="shared" si="8"/>
        <v>64.946638002797044</v>
      </c>
      <c r="AL37" s="236">
        <f t="shared" si="9"/>
        <v>-63.291313980806535</v>
      </c>
      <c r="AM37" s="237">
        <f t="shared" si="6"/>
        <v>32.059487995900895</v>
      </c>
      <c r="AN37" s="238">
        <f t="shared" si="7"/>
        <v>-3.1670945513696012</v>
      </c>
    </row>
    <row r="38" spans="2:42" ht="42" thickBot="1">
      <c r="B38" s="358" t="s">
        <v>471</v>
      </c>
      <c r="C38" s="32">
        <v>2</v>
      </c>
      <c r="D38" s="38" t="s">
        <v>0</v>
      </c>
      <c r="E38" s="398" t="s">
        <v>184</v>
      </c>
      <c r="F38" s="495"/>
      <c r="I38" s="48"/>
      <c r="M38" s="59"/>
      <c r="T38" s="46"/>
      <c r="U38" s="46"/>
      <c r="AD38" s="171">
        <v>22</v>
      </c>
      <c r="AE38" s="214">
        <f t="shared" si="10"/>
        <v>1118.4178539264663</v>
      </c>
      <c r="AF38" s="168">
        <f t="shared" si="2"/>
        <v>824.27395834380559</v>
      </c>
      <c r="AG38" s="214">
        <f t="shared" si="3"/>
        <v>1217.2588692879137</v>
      </c>
      <c r="AH38" s="214">
        <f t="shared" si="4"/>
        <v>897.11978666519246</v>
      </c>
      <c r="AI38" s="214">
        <f t="shared" si="5"/>
        <v>-98.841015361447489</v>
      </c>
      <c r="AJ38" s="197"/>
      <c r="AK38" s="235">
        <f t="shared" si="8"/>
        <v>58.49255920873361</v>
      </c>
      <c r="AL38" s="236">
        <f t="shared" si="9"/>
        <v>-57.001733180729843</v>
      </c>
      <c r="AM38" s="237">
        <f t="shared" si="6"/>
        <v>28.87357309736586</v>
      </c>
      <c r="AN38" s="238">
        <f t="shared" ref="AN38:AN47" si="11">IF($AD38&gt;$E$127-5, 0,AI38/AM38)</f>
        <v>-3.4232346314791489</v>
      </c>
    </row>
    <row r="39" spans="2:42" ht="20.25" thickBot="1">
      <c r="B39" s="359" t="s">
        <v>382</v>
      </c>
      <c r="C39" s="50"/>
      <c r="E39" s="69"/>
      <c r="F39" s="495"/>
      <c r="I39" s="48"/>
      <c r="AD39" s="171">
        <v>24</v>
      </c>
      <c r="AE39" s="214">
        <f t="shared" si="10"/>
        <v>996.79648735710248</v>
      </c>
      <c r="AF39" s="168">
        <f t="shared" si="2"/>
        <v>734.6390111821845</v>
      </c>
      <c r="AG39" s="214">
        <f t="shared" si="3"/>
        <v>1089.6749988752149</v>
      </c>
      <c r="AH39" s="214">
        <f t="shared" si="4"/>
        <v>803.09047417103341</v>
      </c>
      <c r="AI39" s="214">
        <f t="shared" si="5"/>
        <v>-92.878511518112418</v>
      </c>
      <c r="AJ39" s="197"/>
      <c r="AK39" s="235">
        <f t="shared" si="8"/>
        <v>52.131837265561217</v>
      </c>
      <c r="AL39" s="236">
        <f t="shared" si="9"/>
        <v>-50.803129803714796</v>
      </c>
      <c r="AM39" s="237">
        <f t="shared" si="6"/>
        <v>25.733741767319003</v>
      </c>
      <c r="AN39" s="238">
        <f t="shared" si="11"/>
        <v>-3.6092112976770849</v>
      </c>
    </row>
    <row r="40" spans="2:42" ht="40.5" thickBot="1">
      <c r="B40" s="358" t="s">
        <v>472</v>
      </c>
      <c r="C40" s="32">
        <v>7.5</v>
      </c>
      <c r="D40" s="38" t="s">
        <v>0</v>
      </c>
      <c r="E40" s="398" t="s">
        <v>77</v>
      </c>
      <c r="F40" s="495"/>
      <c r="I40" s="48"/>
      <c r="AD40" s="171">
        <v>26</v>
      </c>
      <c r="AE40" s="214">
        <f t="shared" si="10"/>
        <v>876.9601678131321</v>
      </c>
      <c r="AF40" s="168">
        <f t="shared" si="2"/>
        <v>646.31964367827834</v>
      </c>
      <c r="AG40" s="214">
        <f t="shared" si="3"/>
        <v>960.76352732795328</v>
      </c>
      <c r="AH40" s="214">
        <f t="shared" si="4"/>
        <v>708.08271964070161</v>
      </c>
      <c r="AI40" s="214">
        <f t="shared" si="5"/>
        <v>-83.803359514821182</v>
      </c>
      <c r="AJ40" s="197"/>
      <c r="AK40" s="235">
        <f t="shared" si="8"/>
        <v>45.864472173280433</v>
      </c>
      <c r="AL40" s="236">
        <f t="shared" si="9"/>
        <v>-44.695503849761508</v>
      </c>
      <c r="AM40" s="237">
        <f t="shared" si="6"/>
        <v>22.639994005760485</v>
      </c>
      <c r="AN40" s="238">
        <f t="shared" si="11"/>
        <v>-3.7015627960633903</v>
      </c>
    </row>
    <row r="41" spans="2:42" ht="43.5">
      <c r="B41" s="359" t="s">
        <v>388</v>
      </c>
      <c r="E41" s="400"/>
      <c r="F41" s="495"/>
      <c r="I41" s="48"/>
      <c r="AD41" s="171">
        <v>28</v>
      </c>
      <c r="AE41" s="214">
        <f t="shared" si="10"/>
        <v>758.90889529455433</v>
      </c>
      <c r="AF41" s="168">
        <f t="shared" si="2"/>
        <v>559.31585583208653</v>
      </c>
      <c r="AG41" s="214">
        <f t="shared" si="3"/>
        <v>830.68151341691839</v>
      </c>
      <c r="AH41" s="214">
        <f t="shared" si="4"/>
        <v>612.21227538826884</v>
      </c>
      <c r="AI41" s="214">
        <f t="shared" si="5"/>
        <v>-71.772618122364065</v>
      </c>
      <c r="AJ41" s="197"/>
      <c r="AK41" s="235">
        <f t="shared" si="8"/>
        <v>39.690463931890918</v>
      </c>
      <c r="AL41" s="236">
        <f t="shared" si="9"/>
        <v>-38.678855318869751</v>
      </c>
      <c r="AM41" s="237">
        <f t="shared" si="6"/>
        <v>19.592329812690167</v>
      </c>
      <c r="AN41" s="238">
        <f t="shared" si="11"/>
        <v>-3.6633018537630044</v>
      </c>
    </row>
    <row r="42" spans="2:42" ht="28.5" thickBot="1">
      <c r="B42" s="360" t="s">
        <v>389</v>
      </c>
      <c r="C42" s="36"/>
      <c r="D42" s="52">
        <f>C12-C28</f>
        <v>30</v>
      </c>
      <c r="E42" s="401" t="s">
        <v>75</v>
      </c>
      <c r="F42" s="496" t="s">
        <v>75</v>
      </c>
      <c r="G42" s="57"/>
      <c r="I42" s="48"/>
      <c r="AD42" s="171">
        <v>30</v>
      </c>
      <c r="AE42" s="214">
        <f t="shared" si="10"/>
        <v>642.64266980136983</v>
      </c>
      <c r="AF42" s="168">
        <f t="shared" si="2"/>
        <v>473.62764764360958</v>
      </c>
      <c r="AG42" s="214">
        <f t="shared" si="3"/>
        <v>699.58744203846345</v>
      </c>
      <c r="AH42" s="214">
        <f t="shared" si="4"/>
        <v>515.5959447823476</v>
      </c>
      <c r="AI42" s="214">
        <f t="shared" si="5"/>
        <v>-56.944772237093616</v>
      </c>
      <c r="AJ42" s="197"/>
      <c r="AK42" s="235">
        <f t="shared" si="8"/>
        <v>33.609812541392671</v>
      </c>
      <c r="AL42" s="236">
        <f t="shared" si="9"/>
        <v>-32.753184211039866</v>
      </c>
      <c r="AM42" s="237">
        <f t="shared" si="6"/>
        <v>16.590749188108134</v>
      </c>
      <c r="AN42" s="238">
        <f t="shared" si="11"/>
        <v>0</v>
      </c>
    </row>
    <row r="43" spans="2:42" ht="30.75" thickBot="1">
      <c r="B43" s="358" t="s">
        <v>473</v>
      </c>
      <c r="C43" s="32">
        <v>0.5</v>
      </c>
      <c r="D43" s="38" t="s">
        <v>0</v>
      </c>
      <c r="E43" s="398" t="s">
        <v>185</v>
      </c>
      <c r="F43" s="48"/>
      <c r="I43" s="48"/>
      <c r="AD43" s="171">
        <v>32</v>
      </c>
      <c r="AE43" s="214">
        <f t="shared" si="10"/>
        <v>528.16149133357817</v>
      </c>
      <c r="AF43" s="168">
        <f t="shared" si="2"/>
        <v>389.25501911284709</v>
      </c>
      <c r="AG43" s="214">
        <f t="shared" si="3"/>
        <v>567.64103112506871</v>
      </c>
      <c r="AH43" s="214">
        <f t="shared" si="4"/>
        <v>418.35143993917563</v>
      </c>
      <c r="AI43" s="214">
        <f t="shared" si="5"/>
        <v>-39.479539791490538</v>
      </c>
      <c r="AJ43" s="197"/>
      <c r="AK43" s="235">
        <f t="shared" si="8"/>
        <v>27.622518001785579</v>
      </c>
      <c r="AL43" s="236">
        <f t="shared" si="9"/>
        <v>-26.918490526272024</v>
      </c>
      <c r="AM43" s="237">
        <f t="shared" si="6"/>
        <v>13.635252132014401</v>
      </c>
      <c r="AN43" s="238">
        <f t="shared" si="11"/>
        <v>0</v>
      </c>
    </row>
    <row r="44" spans="2:42" ht="36.75">
      <c r="B44" s="359" t="s">
        <v>391</v>
      </c>
      <c r="F44" s="48"/>
      <c r="I44" s="48"/>
      <c r="AD44" s="171">
        <v>34</v>
      </c>
      <c r="AE44" s="214">
        <f t="shared" si="10"/>
        <v>415.46535989117928</v>
      </c>
      <c r="AF44" s="168">
        <f t="shared" si="2"/>
        <v>306.19797023979913</v>
      </c>
      <c r="AG44" s="214">
        <f t="shared" si="3"/>
        <v>435.0030370536453</v>
      </c>
      <c r="AH44" s="214">
        <f t="shared" si="4"/>
        <v>320.59723830853659</v>
      </c>
      <c r="AI44" s="214">
        <f t="shared" si="5"/>
        <v>-19.537677162466025</v>
      </c>
      <c r="AJ44" s="197"/>
      <c r="AK44" s="235">
        <f t="shared" si="8"/>
        <v>21.728580313069983</v>
      </c>
      <c r="AL44" s="236">
        <f t="shared" si="9"/>
        <v>-21.174774264565656</v>
      </c>
      <c r="AM44" s="237">
        <f t="shared" si="6"/>
        <v>10.72583864440891</v>
      </c>
      <c r="AN44" s="238">
        <f t="shared" si="11"/>
        <v>0</v>
      </c>
    </row>
    <row r="45" spans="2:42" ht="17.25">
      <c r="B45" s="360" t="s">
        <v>392</v>
      </c>
      <c r="C45" s="37"/>
      <c r="D45" s="52">
        <f>D25+2*C43</f>
        <v>53.5</v>
      </c>
      <c r="F45" s="48"/>
      <c r="I45" s="48"/>
      <c r="AD45" s="171">
        <v>36</v>
      </c>
      <c r="AE45" s="214">
        <f t="shared" si="10"/>
        <v>304.55427547417378</v>
      </c>
      <c r="AF45" s="168">
        <f t="shared" si="2"/>
        <v>224.45650102446606</v>
      </c>
      <c r="AG45" s="214">
        <f t="shared" si="3"/>
        <v>301.83505878865395</v>
      </c>
      <c r="AH45" s="214">
        <f t="shared" si="4"/>
        <v>222.45243832723796</v>
      </c>
      <c r="AI45" s="214">
        <f t="shared" si="5"/>
        <v>2.7192166855198252</v>
      </c>
      <c r="AJ45" s="197"/>
      <c r="AK45" s="235">
        <f t="shared" si="8"/>
        <v>15.927999475245599</v>
      </c>
      <c r="AL45" s="236">
        <f t="shared" si="9"/>
        <v>-15.52203542592116</v>
      </c>
      <c r="AM45" s="237">
        <f t="shared" si="6"/>
        <v>7.8625087252916899</v>
      </c>
      <c r="AN45" s="238">
        <f t="shared" si="11"/>
        <v>0</v>
      </c>
    </row>
    <row r="46" spans="2:42" ht="27" thickBot="1">
      <c r="B46" s="475" t="s">
        <v>462</v>
      </c>
      <c r="C46" s="37"/>
      <c r="D46" s="52">
        <f>(C8-D45)/2</f>
        <v>5.5</v>
      </c>
      <c r="F46" s="48"/>
      <c r="I46" s="48"/>
      <c r="AD46" s="171">
        <v>38</v>
      </c>
      <c r="AE46" s="214">
        <f t="shared" si="10"/>
        <v>195.42823808256091</v>
      </c>
      <c r="AF46" s="168">
        <f t="shared" si="2"/>
        <v>144.03061146684738</v>
      </c>
      <c r="AG46" s="214">
        <f t="shared" si="3"/>
        <v>168.29934099865508</v>
      </c>
      <c r="AH46" s="214">
        <f t="shared" si="4"/>
        <v>124.03661431600879</v>
      </c>
      <c r="AI46" s="214">
        <f t="shared" si="5"/>
        <v>27.128897083905827</v>
      </c>
      <c r="AJ46" s="197"/>
      <c r="AK46" s="235">
        <f t="shared" si="8"/>
        <v>10.220775488312512</v>
      </c>
      <c r="AL46" s="236">
        <f t="shared" si="9"/>
        <v>-9.9602740103384235</v>
      </c>
      <c r="AM46" s="237">
        <f t="shared" si="6"/>
        <v>5.0452623746627339</v>
      </c>
      <c r="AN46" s="238">
        <f t="shared" si="11"/>
        <v>0</v>
      </c>
    </row>
    <row r="47" spans="2:42" ht="19.5" thickBot="1">
      <c r="B47" s="358" t="s">
        <v>474</v>
      </c>
      <c r="C47" s="199">
        <v>0.5</v>
      </c>
      <c r="D47" s="38" t="s">
        <v>0</v>
      </c>
      <c r="E47" s="282" t="s">
        <v>187</v>
      </c>
      <c r="F47" s="48"/>
      <c r="I47" s="48"/>
      <c r="AD47" s="172">
        <v>40</v>
      </c>
      <c r="AE47" s="215">
        <f t="shared" si="10"/>
        <v>88.087247716341366</v>
      </c>
      <c r="AF47" s="173">
        <f t="shared" si="2"/>
        <v>64.920301566943593</v>
      </c>
      <c r="AG47" s="215">
        <f t="shared" si="3"/>
        <v>34.558576386175616</v>
      </c>
      <c r="AH47" s="215">
        <f t="shared" si="4"/>
        <v>25.469670796611428</v>
      </c>
      <c r="AI47" s="215">
        <f t="shared" si="5"/>
        <v>53.52867133016575</v>
      </c>
      <c r="AJ47" s="198"/>
      <c r="AK47" s="239">
        <f t="shared" si="8"/>
        <v>4.6069083522706649</v>
      </c>
      <c r="AL47" s="240">
        <f t="shared" si="9"/>
        <v>-4.4894900178175163</v>
      </c>
      <c r="AM47" s="241">
        <f t="shared" si="6"/>
        <v>2.2740995925220453</v>
      </c>
      <c r="AN47" s="242">
        <f t="shared" si="11"/>
        <v>0</v>
      </c>
    </row>
    <row r="48" spans="2:42" ht="54.75" thickBot="1">
      <c r="B48" s="359" t="s">
        <v>428</v>
      </c>
      <c r="F48" s="48"/>
      <c r="I48" s="48"/>
      <c r="AF48" s="18"/>
      <c r="AG48" s="216"/>
      <c r="AH48" s="180"/>
      <c r="AI48" s="216"/>
      <c r="AJ48" s="193"/>
      <c r="AK48" s="243"/>
      <c r="AL48" s="244"/>
      <c r="AM48" s="245"/>
      <c r="AN48" s="246"/>
    </row>
    <row r="49" spans="2:40" ht="46.5" thickBot="1">
      <c r="B49" s="358" t="s">
        <v>475</v>
      </c>
      <c r="C49" s="31">
        <v>8.7799999999999994</v>
      </c>
      <c r="D49" s="38" t="s">
        <v>360</v>
      </c>
      <c r="E49" s="399"/>
      <c r="F49" s="491"/>
      <c r="I49" s="48"/>
      <c r="L49" s="64"/>
      <c r="AF49" s="167" t="s">
        <v>235</v>
      </c>
      <c r="AG49" s="217">
        <f>MAX(AI27:AI47)</f>
        <v>53.52867133016575</v>
      </c>
      <c r="AH49" s="247" t="s">
        <v>234</v>
      </c>
      <c r="AI49" s="217">
        <f>MIN(AI27:AI47)</f>
        <v>-101.53542975151686</v>
      </c>
      <c r="AJ49" s="193"/>
      <c r="AK49" s="248"/>
      <c r="AL49" s="179"/>
      <c r="AM49" s="184" t="s">
        <v>41</v>
      </c>
      <c r="AN49" s="249">
        <f>MAX(AN27:AN47)</f>
        <v>0.73060068689567415</v>
      </c>
    </row>
    <row r="50" spans="2:40" ht="18.75" thickBot="1">
      <c r="B50" s="357" t="s">
        <v>393</v>
      </c>
      <c r="C50" s="356">
        <v>2</v>
      </c>
      <c r="D50" s="316" t="s">
        <v>0</v>
      </c>
      <c r="E50" s="397" t="s">
        <v>170</v>
      </c>
      <c r="F50" s="491"/>
      <c r="I50" s="48"/>
      <c r="L50" s="64"/>
      <c r="AF50" s="174"/>
      <c r="AG50" s="250"/>
      <c r="AH50" s="224"/>
      <c r="AI50" s="250"/>
      <c r="AJ50" s="195"/>
      <c r="AK50" s="248"/>
      <c r="AL50" s="179"/>
      <c r="AM50" s="184" t="s">
        <v>42</v>
      </c>
      <c r="AN50" s="249">
        <f>MIN(AN27:AN47)</f>
        <v>-3.7015627960633903</v>
      </c>
    </row>
    <row r="51" spans="2:40" ht="18.75" thickBot="1">
      <c r="B51" s="357" t="s">
        <v>394</v>
      </c>
      <c r="C51" s="356">
        <v>4</v>
      </c>
      <c r="D51" s="316" t="s">
        <v>0</v>
      </c>
      <c r="E51" s="397" t="s">
        <v>10</v>
      </c>
      <c r="F51" s="491"/>
      <c r="I51" s="48"/>
      <c r="AK51" s="72"/>
      <c r="AL51" s="73"/>
      <c r="AM51" s="196" t="s">
        <v>73</v>
      </c>
      <c r="AN51" s="74">
        <f>AN49-AN50</f>
        <v>4.4321634829590648</v>
      </c>
    </row>
    <row r="52" spans="2:40" ht="19.5" thickBot="1">
      <c r="B52" s="357" t="s">
        <v>395</v>
      </c>
      <c r="C52" s="200">
        <v>0.25</v>
      </c>
      <c r="D52" s="38" t="s">
        <v>0</v>
      </c>
      <c r="E52" s="401" t="s">
        <v>197</v>
      </c>
      <c r="F52" s="491"/>
      <c r="I52" s="48"/>
      <c r="AJ52" s="14"/>
    </row>
    <row r="53" spans="2:40" ht="36" thickBot="1">
      <c r="B53" s="361" t="s">
        <v>396</v>
      </c>
      <c r="C53" s="60"/>
      <c r="D53" s="61"/>
      <c r="E53" s="402"/>
      <c r="F53" s="492"/>
      <c r="G53" s="61"/>
      <c r="H53" s="61"/>
      <c r="I53" s="45"/>
      <c r="AJ53" s="14"/>
    </row>
    <row r="54" spans="2:40" ht="22.5" thickBot="1">
      <c r="B54" s="62" t="s">
        <v>404</v>
      </c>
      <c r="C54" s="39"/>
      <c r="D54" s="40"/>
      <c r="E54" s="40"/>
      <c r="F54" s="40"/>
      <c r="G54" s="66"/>
      <c r="H54" s="40"/>
      <c r="I54" s="71" t="s">
        <v>100</v>
      </c>
      <c r="AD54" s="14"/>
      <c r="AE54" s="14"/>
      <c r="AJ54" s="14"/>
      <c r="AK54" s="3"/>
    </row>
    <row r="55" spans="2:40" ht="15" thickBot="1">
      <c r="B55" s="67"/>
      <c r="C55" s="34"/>
      <c r="G55" s="68"/>
      <c r="I55" s="520" t="str">
        <f>IF(D24&lt;C9,IF(C20&gt;=1,"OK", "Increase static frame/board slot overlap (n)."), "Reduce static frame overlap (n).")</f>
        <v>OK</v>
      </c>
      <c r="AJ55" s="14"/>
      <c r="AK55" s="3"/>
    </row>
    <row r="56" spans="2:40" ht="30" thickBot="1">
      <c r="B56" s="358" t="s">
        <v>454</v>
      </c>
      <c r="C56" s="340">
        <v>145</v>
      </c>
      <c r="D56" s="341" t="s">
        <v>162</v>
      </c>
      <c r="I56" s="520"/>
      <c r="AJ56" s="14"/>
      <c r="AK56" s="3"/>
    </row>
    <row r="57" spans="2:40" ht="45.75" customHeight="1" thickBot="1">
      <c r="B57" s="357" t="s">
        <v>405</v>
      </c>
      <c r="C57" s="518" t="s">
        <v>271</v>
      </c>
      <c r="D57" s="519"/>
      <c r="I57" s="520" t="str">
        <f>IF(D30&gt;=0,"OK", "Physical constraint; reduce static horiz. tubing depth (r.) or increase static vert. tubing width (ak).")</f>
        <v>OK</v>
      </c>
      <c r="AD57" s="14"/>
      <c r="AE57" s="14"/>
      <c r="AJ57" s="14"/>
      <c r="AK57" s="3"/>
    </row>
    <row r="58" spans="2:40" ht="30" thickBot="1">
      <c r="B58" s="358" t="s">
        <v>455</v>
      </c>
      <c r="C58" s="34"/>
      <c r="E58" s="399"/>
      <c r="G58" s="69"/>
      <c r="I58" s="520"/>
      <c r="AJ58" s="14"/>
      <c r="AK58" s="3"/>
    </row>
    <row r="59" spans="2:40" ht="19.5" thickBot="1">
      <c r="B59" s="362" t="s">
        <v>406</v>
      </c>
      <c r="C59" s="161">
        <v>6</v>
      </c>
      <c r="D59" s="38" t="s">
        <v>0</v>
      </c>
      <c r="E59" s="398" t="s">
        <v>195</v>
      </c>
      <c r="G59" s="69"/>
      <c r="I59" s="520" t="str">
        <f>IF(D46&gt;=0.5,"OK", "Reduce faceplate overlap (f), reduce static frame/board slot overlap (n), or increase  vert. static tubing width (ak).")</f>
        <v>OK</v>
      </c>
      <c r="AD59" s="14"/>
      <c r="AE59" s="14"/>
      <c r="AJ59" s="14"/>
      <c r="AK59" s="3"/>
    </row>
    <row r="60" spans="2:40" ht="19.5" thickBot="1">
      <c r="B60" s="362" t="s">
        <v>407</v>
      </c>
      <c r="C60" s="161">
        <v>4</v>
      </c>
      <c r="D60" s="38" t="s">
        <v>0</v>
      </c>
      <c r="E60" s="398" t="s">
        <v>196</v>
      </c>
      <c r="G60" s="69"/>
      <c r="I60" s="520"/>
      <c r="AD60" s="14"/>
      <c r="AE60" s="14"/>
      <c r="AJ60" s="14"/>
      <c r="AK60" s="3"/>
    </row>
    <row r="61" spans="2:40" ht="19.5" thickBot="1">
      <c r="B61" s="362" t="s">
        <v>408</v>
      </c>
      <c r="C61" s="200">
        <v>0.25</v>
      </c>
      <c r="D61" s="38" t="s">
        <v>0</v>
      </c>
      <c r="E61" s="403" t="s">
        <v>267</v>
      </c>
      <c r="G61" s="69"/>
      <c r="I61" s="520"/>
      <c r="AD61" s="14"/>
      <c r="AE61" s="14"/>
      <c r="AJ61" s="14"/>
      <c r="AK61" s="3"/>
    </row>
    <row r="62" spans="2:40" ht="19.5" thickBot="1">
      <c r="B62" s="362" t="s">
        <v>409</v>
      </c>
      <c r="C62" s="163">
        <v>15.58</v>
      </c>
      <c r="D62" s="38" t="s">
        <v>360</v>
      </c>
      <c r="E62" s="399"/>
      <c r="G62" s="69"/>
      <c r="I62" s="510" t="str">
        <f>IF(C60=C51,"OK","Match CW tubing width to dynamic frame tubing width.")</f>
        <v>OK</v>
      </c>
      <c r="J62" s="290"/>
      <c r="AB62" s="64"/>
      <c r="AD62" s="14"/>
      <c r="AE62" s="14"/>
      <c r="AJ62" s="14"/>
      <c r="AK62" s="3"/>
    </row>
    <row r="63" spans="2:40" ht="15" thickBot="1">
      <c r="B63" s="51"/>
      <c r="C63" s="34"/>
      <c r="E63" s="399"/>
      <c r="G63" s="69"/>
      <c r="I63" s="511"/>
      <c r="J63" s="294"/>
      <c r="AJ63" s="14"/>
      <c r="AK63" s="3"/>
    </row>
    <row r="64" spans="2:40" ht="41.25" customHeight="1" thickBot="1">
      <c r="B64" s="358" t="s">
        <v>456</v>
      </c>
      <c r="C64" s="34"/>
      <c r="E64" s="399"/>
      <c r="F64" s="516" t="s">
        <v>140</v>
      </c>
      <c r="G64" s="517"/>
      <c r="H64" s="517"/>
      <c r="I64" s="575" t="str">
        <f>IF(C12+C38+0.5*C51&gt;C34,"Physical constraint; b + e + (1/2×m) must be ≤ d.","OK")</f>
        <v>OK</v>
      </c>
      <c r="J64" s="294"/>
      <c r="AJ64" s="14"/>
      <c r="AK64" s="3"/>
    </row>
    <row r="65" spans="2:43" ht="19.5" thickBot="1">
      <c r="B65" s="357" t="s">
        <v>410</v>
      </c>
      <c r="C65" s="32">
        <v>24</v>
      </c>
      <c r="D65" s="38" t="s">
        <v>0</v>
      </c>
      <c r="E65" s="404" t="s">
        <v>198</v>
      </c>
      <c r="F65" s="372" t="s">
        <v>101</v>
      </c>
      <c r="G65" s="75">
        <f>AG15</f>
        <v>1836.5116621959464</v>
      </c>
      <c r="H65" s="76" t="s">
        <v>37</v>
      </c>
      <c r="I65" s="575"/>
      <c r="J65" s="295"/>
      <c r="AJ65" s="14"/>
      <c r="AK65" s="3"/>
    </row>
    <row r="66" spans="2:43" ht="19.5" thickBot="1">
      <c r="B66" s="357" t="s">
        <v>411</v>
      </c>
      <c r="C66" s="199">
        <v>0.25</v>
      </c>
      <c r="D66" s="38" t="s">
        <v>0</v>
      </c>
      <c r="E66" s="403" t="s">
        <v>199</v>
      </c>
      <c r="F66" s="373" t="s">
        <v>102</v>
      </c>
      <c r="G66" s="78">
        <f>AE88*AH88/12</f>
        <v>1835.9689019152099</v>
      </c>
      <c r="H66" s="44" t="s">
        <v>37</v>
      </c>
      <c r="I66" s="520" t="str">
        <f>IF(AND(G66&lt;G65*1.005,G66&gt;G65*0.995)=TRUE,"OK","Adjust CW pipe length (longer for more weight) or lever arm length (shorter for more weight).")</f>
        <v>OK</v>
      </c>
      <c r="J66" s="294"/>
      <c r="AD66" s="14"/>
      <c r="AE66" s="14"/>
      <c r="AF66" s="14"/>
      <c r="AJ66" s="14"/>
      <c r="AK66" s="3"/>
    </row>
    <row r="67" spans="2:43" ht="19.5" customHeight="1" thickBot="1">
      <c r="B67" s="357" t="s">
        <v>412</v>
      </c>
      <c r="C67" s="32">
        <v>37.5</v>
      </c>
      <c r="D67" s="38" t="s">
        <v>0</v>
      </c>
      <c r="E67" s="404" t="s">
        <v>200</v>
      </c>
      <c r="I67" s="520"/>
      <c r="J67" s="294"/>
      <c r="AD67" s="14"/>
      <c r="AE67" s="14"/>
      <c r="AF67" s="14"/>
      <c r="AJ67" s="14"/>
      <c r="AK67" s="3"/>
    </row>
    <row r="68" spans="2:43" ht="15">
      <c r="B68" s="70"/>
      <c r="C68" s="85"/>
      <c r="E68" s="399"/>
      <c r="I68" s="520"/>
      <c r="J68" s="294"/>
    </row>
    <row r="69" spans="2:43" ht="17.25">
      <c r="B69" s="360" t="s">
        <v>413</v>
      </c>
      <c r="C69" s="85"/>
      <c r="D69" s="201">
        <f>C47</f>
        <v>0.5</v>
      </c>
      <c r="I69" s="573" t="str">
        <f>IF(C67&lt;=(AF76-2),"OK","Physical constraint; increase pipe dia. and reduce pipe length.")</f>
        <v>OK</v>
      </c>
      <c r="J69" s="294"/>
      <c r="AB69" s="15"/>
    </row>
    <row r="70" spans="2:43" ht="12.75" thickBot="1">
      <c r="B70" s="70"/>
      <c r="E70" s="79"/>
      <c r="I70" s="574"/>
      <c r="J70" s="294"/>
      <c r="Y70" s="15"/>
      <c r="Z70" s="15"/>
      <c r="AA70" s="16"/>
      <c r="AE70" s="15"/>
      <c r="AF70" s="42"/>
      <c r="AG70" s="42"/>
      <c r="AJ70" s="42"/>
      <c r="AK70" s="42"/>
      <c r="AL70" s="42"/>
      <c r="AM70" s="42"/>
      <c r="AP70" s="42"/>
    </row>
    <row r="71" spans="2:43" ht="35.25" thickBot="1">
      <c r="B71" s="358" t="s">
        <v>457</v>
      </c>
      <c r="C71" s="1">
        <v>4</v>
      </c>
      <c r="E71" s="79"/>
      <c r="F71" s="512" t="s">
        <v>163</v>
      </c>
      <c r="G71" s="567">
        <f>D73/E125</f>
        <v>7.595501636063616E-2</v>
      </c>
      <c r="I71" s="522" t="str">
        <f>IF(G71&lt;0.05,"Increase CW support size for more adjustment.","OK")</f>
        <v>OK</v>
      </c>
      <c r="J71" s="294"/>
      <c r="AD71" s="436"/>
      <c r="AE71" s="437"/>
      <c r="AF71" s="438"/>
      <c r="AG71" s="438"/>
      <c r="AH71" s="438"/>
      <c r="AI71" s="439"/>
      <c r="AJ71" s="438"/>
      <c r="AK71" s="438"/>
      <c r="AL71" s="438"/>
      <c r="AM71" s="440"/>
      <c r="AP71" s="77"/>
      <c r="AQ71" s="64"/>
    </row>
    <row r="72" spans="2:43" ht="13.5" thickBot="1">
      <c r="B72" s="80"/>
      <c r="E72" s="55"/>
      <c r="F72" s="513"/>
      <c r="G72" s="568"/>
      <c r="I72" s="523"/>
      <c r="J72" s="294"/>
      <c r="AD72" s="441" t="s">
        <v>105</v>
      </c>
      <c r="AE72" s="442" t="s">
        <v>113</v>
      </c>
      <c r="AF72" s="442" t="s">
        <v>106</v>
      </c>
      <c r="AG72" s="442" t="s">
        <v>107</v>
      </c>
      <c r="AH72" s="442" t="s">
        <v>108</v>
      </c>
      <c r="AI72" s="443" t="s">
        <v>109</v>
      </c>
      <c r="AJ72" s="442" t="s">
        <v>111</v>
      </c>
      <c r="AK72" s="442" t="s">
        <v>110</v>
      </c>
      <c r="AL72" s="442" t="s">
        <v>112</v>
      </c>
      <c r="AM72" s="444" t="s">
        <v>434</v>
      </c>
    </row>
    <row r="73" spans="2:43" ht="24.75" thickBot="1">
      <c r="B73" s="360" t="str">
        <f>"Approximate weight (lbs) of the rebar to add during initial start-up."&amp;IF(AE161&lt;&gt;"","*","")</f>
        <v>Approximate weight (lbs) of the rebar to add during initial start-up.</v>
      </c>
      <c r="D73" s="81">
        <f>AH84</f>
        <v>137.83022280092592</v>
      </c>
      <c r="E73" s="366" t="s">
        <v>414</v>
      </c>
      <c r="I73" s="521" t="str">
        <f>IF(G71&lt;=0.15,"OK","Reduce CW support size to obtain 5%-15% weight in rebar.")</f>
        <v>OK</v>
      </c>
      <c r="J73" s="296"/>
      <c r="X73" s="15"/>
      <c r="AD73" s="441"/>
      <c r="AE73" s="442"/>
      <c r="AF73" s="442"/>
      <c r="AG73" s="442"/>
      <c r="AH73" s="442"/>
      <c r="AI73" s="443"/>
      <c r="AJ73" s="442"/>
      <c r="AK73" s="442"/>
      <c r="AL73" s="442"/>
      <c r="AM73" s="445"/>
    </row>
    <row r="74" spans="2:43" ht="24">
      <c r="B74" s="360" t="str">
        <f>"Approximate length (ft) of rebar required to achieve that weight."&amp;IF(AE161&lt;&gt;"","*","")</f>
        <v>Approximate length (ft) of rebar required to achieve that weight.</v>
      </c>
      <c r="D74" s="81">
        <f>D73/VLOOKUP(C71,F173:H178,2)</f>
        <v>206.33266886366155</v>
      </c>
      <c r="F74" s="512" t="s">
        <v>425</v>
      </c>
      <c r="G74" s="514">
        <f>AN51/2.54</f>
        <v>1.7449462531334901</v>
      </c>
      <c r="H74" s="341" t="s">
        <v>414</v>
      </c>
      <c r="I74" s="521"/>
      <c r="J74" s="296"/>
      <c r="AD74" s="441"/>
      <c r="AE74" s="442"/>
      <c r="AF74" s="442"/>
      <c r="AG74" s="442"/>
      <c r="AH74" s="442"/>
      <c r="AI74" s="443"/>
      <c r="AJ74" s="442"/>
      <c r="AK74" s="442"/>
      <c r="AL74" s="442"/>
      <c r="AM74" s="445"/>
    </row>
    <row r="75" spans="2:43" ht="13.5" thickBot="1">
      <c r="B75" s="281" t="str">
        <f>IF(AE161&lt;&gt;"","*These values are the result of an override rebar value","")</f>
        <v/>
      </c>
      <c r="E75" s="399"/>
      <c r="F75" s="513"/>
      <c r="G75" s="515"/>
      <c r="I75" s="510" t="str">
        <f>IF(G74&lt;4,"OK","Adjust (y); increasing (y) will decrease the value to the left.")</f>
        <v>OK</v>
      </c>
      <c r="J75" s="294"/>
      <c r="AD75" s="446" t="s">
        <v>177</v>
      </c>
      <c r="AE75" s="447">
        <f>(F131*H131*C47)/(12*144)</f>
        <v>0.50311053240740744</v>
      </c>
      <c r="AF75" s="448" t="s">
        <v>2</v>
      </c>
      <c r="AG75" s="448" t="s">
        <v>2</v>
      </c>
      <c r="AH75" s="449">
        <f>AE75*490</f>
        <v>246.52416087962965</v>
      </c>
      <c r="AI75" s="450">
        <f>C40+C$47/2</f>
        <v>7.75</v>
      </c>
      <c r="AJ75" s="449">
        <f t="shared" ref="AJ75:AJ82" si="12">AI75*AH75</f>
        <v>1910.5622468171298</v>
      </c>
      <c r="AK75" s="447">
        <f>-(C34-C28+C43-(F131/2))</f>
        <v>-19.25</v>
      </c>
      <c r="AL75" s="449">
        <f t="shared" ref="AL75:AL82" si="13">AH75*AK75</f>
        <v>-4745.5900969328704</v>
      </c>
      <c r="AM75" s="451" t="s">
        <v>340</v>
      </c>
    </row>
    <row r="76" spans="2:43" ht="30.75" thickBot="1">
      <c r="B76" s="358" t="s">
        <v>458</v>
      </c>
      <c r="C76" s="32">
        <v>18.5</v>
      </c>
      <c r="D76" s="38" t="s">
        <v>0</v>
      </c>
      <c r="E76" s="398" t="s">
        <v>171</v>
      </c>
      <c r="H76" s="84"/>
      <c r="I76" s="510"/>
      <c r="J76" s="294"/>
      <c r="AD76" s="446" t="s">
        <v>178</v>
      </c>
      <c r="AE76" s="448" t="s">
        <v>2</v>
      </c>
      <c r="AF76" s="447">
        <f>IF((AH86+AH87+AH83+AH84)&gt;2000,(H131-2*C43-4*C50-2),(H131-2*C43-2*C50-2))</f>
        <v>46.5</v>
      </c>
      <c r="AG76" s="448">
        <v>1</v>
      </c>
      <c r="AH76" s="449">
        <f t="shared" ref="AH76:AH82" si="14">$C$49*AF76*AG76/12</f>
        <v>34.022500000000001</v>
      </c>
      <c r="AI76" s="447">
        <f>C$40+C$47+C$51/2</f>
        <v>10</v>
      </c>
      <c r="AJ76" s="449">
        <f t="shared" si="12"/>
        <v>340.22500000000002</v>
      </c>
      <c r="AK76" s="447">
        <f>-(C34-(C12+C38-C43-C50/2))</f>
        <v>-4.5</v>
      </c>
      <c r="AL76" s="449">
        <f t="shared" si="13"/>
        <v>-153.10124999999999</v>
      </c>
      <c r="AM76" s="451" t="s">
        <v>340</v>
      </c>
    </row>
    <row r="77" spans="2:43" ht="26.25">
      <c r="B77" s="359" t="s">
        <v>415</v>
      </c>
      <c r="C77" s="85"/>
      <c r="E77" s="400"/>
      <c r="F77" s="86"/>
      <c r="G77" s="86"/>
      <c r="H77" s="84"/>
      <c r="I77" s="510" t="str">
        <f>IF((C76&gt;(C65/2+0.99)),"OK","Physical constraint btwn the CWt and the faceplate; increase (y) or decrease CW pipe diameter.")</f>
        <v>OK</v>
      </c>
      <c r="J77" s="294"/>
      <c r="AD77" s="446" t="s">
        <v>33</v>
      </c>
      <c r="AE77" s="448" t="s">
        <v>2</v>
      </c>
      <c r="AF77" s="452">
        <f>IF(C34&lt;35,0,IF(D25&lt;35,AF76,AF76-C50))</f>
        <v>44.5</v>
      </c>
      <c r="AG77" s="448">
        <v>1</v>
      </c>
      <c r="AH77" s="449">
        <f t="shared" si="14"/>
        <v>32.559166666666663</v>
      </c>
      <c r="AI77" s="447">
        <f>AI76</f>
        <v>10</v>
      </c>
      <c r="AJ77" s="449">
        <f t="shared" si="12"/>
        <v>325.59166666666664</v>
      </c>
      <c r="AK77" s="447">
        <f>(AK76+AK78)/2</f>
        <v>-19.25</v>
      </c>
      <c r="AL77" s="449">
        <f t="shared" si="13"/>
        <v>-626.76395833333322</v>
      </c>
      <c r="AM77" s="451" t="s">
        <v>340</v>
      </c>
    </row>
    <row r="78" spans="2:43" ht="30" thickBot="1">
      <c r="B78" s="358" t="s">
        <v>459</v>
      </c>
      <c r="E78" s="399"/>
      <c r="F78" s="87"/>
      <c r="G78" s="88"/>
      <c r="H78" s="89"/>
      <c r="I78" s="510"/>
      <c r="J78" s="295"/>
      <c r="AD78" s="446" t="s">
        <v>32</v>
      </c>
      <c r="AE78" s="448" t="s">
        <v>2</v>
      </c>
      <c r="AF78" s="447">
        <f>AF76</f>
        <v>46.5</v>
      </c>
      <c r="AG78" s="448">
        <v>1</v>
      </c>
      <c r="AH78" s="449">
        <f t="shared" si="14"/>
        <v>34.022500000000001</v>
      </c>
      <c r="AI78" s="447">
        <f>AI76</f>
        <v>10</v>
      </c>
      <c r="AJ78" s="449">
        <f t="shared" si="12"/>
        <v>340.22500000000002</v>
      </c>
      <c r="AK78" s="453">
        <f>-(C34-C28-C50/2)</f>
        <v>-34</v>
      </c>
      <c r="AL78" s="449">
        <f t="shared" si="13"/>
        <v>-1156.7650000000001</v>
      </c>
      <c r="AM78" s="451" t="s">
        <v>340</v>
      </c>
    </row>
    <row r="79" spans="2:43" ht="18">
      <c r="B79" s="357" t="s">
        <v>416</v>
      </c>
      <c r="E79" s="400" t="s">
        <v>173</v>
      </c>
      <c r="F79" s="374" t="s">
        <v>172</v>
      </c>
      <c r="G79" s="90">
        <f>180/3.14*ATAN($AE$89/$AE$88)</f>
        <v>49.508499519366872</v>
      </c>
      <c r="H79" s="89"/>
      <c r="I79" s="510" t="str">
        <f>IF(AND(G79&gt;48,G79&lt;53)=TRUE,"OK","Adjust (y); increasing (y) will increase the deg.")</f>
        <v>OK</v>
      </c>
      <c r="J79" s="295"/>
      <c r="AC79" s="30"/>
      <c r="AD79" s="446" t="s">
        <v>154</v>
      </c>
      <c r="AE79" s="448" t="s">
        <v>4</v>
      </c>
      <c r="AF79" s="447">
        <f>IF(D25&lt;35,0,F131-2*C50-2*C43)</f>
        <v>27.5</v>
      </c>
      <c r="AG79" s="448">
        <v>1</v>
      </c>
      <c r="AH79" s="449">
        <f t="shared" si="14"/>
        <v>20.120833333333334</v>
      </c>
      <c r="AI79" s="447">
        <f>AI76</f>
        <v>10</v>
      </c>
      <c r="AJ79" s="449">
        <f t="shared" si="12"/>
        <v>201.20833333333334</v>
      </c>
      <c r="AK79" s="447">
        <f>AK77</f>
        <v>-19.25</v>
      </c>
      <c r="AL79" s="449">
        <f t="shared" si="13"/>
        <v>-387.3260416666667</v>
      </c>
      <c r="AM79" s="451" t="s">
        <v>340</v>
      </c>
    </row>
    <row r="80" spans="2:43" ht="18.75">
      <c r="B80" s="357" t="s">
        <v>417</v>
      </c>
      <c r="E80" s="400" t="s">
        <v>174</v>
      </c>
      <c r="F80" s="375" t="s">
        <v>40</v>
      </c>
      <c r="G80" s="91">
        <f>D36/D42</f>
        <v>0.16666666666666666</v>
      </c>
      <c r="H80" s="89"/>
      <c r="I80" s="510"/>
      <c r="J80" s="47"/>
      <c r="AC80" s="30"/>
      <c r="AD80" s="446" t="s">
        <v>136</v>
      </c>
      <c r="AE80" s="448" t="s">
        <v>2</v>
      </c>
      <c r="AF80" s="447">
        <f>C34+C76-C28-(C59/2)</f>
        <v>50.5</v>
      </c>
      <c r="AG80" s="448">
        <v>2</v>
      </c>
      <c r="AH80" s="449">
        <f t="shared" si="14"/>
        <v>73.898333333333326</v>
      </c>
      <c r="AI80" s="447">
        <f>AI76</f>
        <v>10</v>
      </c>
      <c r="AJ80" s="449">
        <f t="shared" si="12"/>
        <v>738.98333333333323</v>
      </c>
      <c r="AK80" s="447">
        <f>-((C34-C28))+((C34-C28)+(C76-0.5*C59))/2</f>
        <v>-9.75</v>
      </c>
      <c r="AL80" s="449">
        <f t="shared" si="13"/>
        <v>-720.50874999999996</v>
      </c>
      <c r="AM80" s="451" t="s">
        <v>340</v>
      </c>
    </row>
    <row r="81" spans="2:39" ht="19.5" thickBot="1">
      <c r="B81" s="357" t="s">
        <v>418</v>
      </c>
      <c r="E81" s="400" t="s">
        <v>175</v>
      </c>
      <c r="F81" s="376" t="s">
        <v>157</v>
      </c>
      <c r="G81" s="92">
        <f>C40/(D36+D42)</f>
        <v>0.21428571428571427</v>
      </c>
      <c r="H81" s="89"/>
      <c r="I81" s="520" t="str">
        <f>IF(AND(G80=(C34-C12)/(C12-C28),G80&lt;=0.5)=TRUE,"OK","Reduce (a) value.")</f>
        <v>OK</v>
      </c>
      <c r="J81" s="295"/>
      <c r="AC81" s="30"/>
      <c r="AD81" s="446" t="s">
        <v>179</v>
      </c>
      <c r="AE81" s="448" t="s">
        <v>2</v>
      </c>
      <c r="AF81" s="447">
        <f>IF(C40&gt;8,(H131-2*C43-2*C50-2)+2*C50,0)</f>
        <v>0</v>
      </c>
      <c r="AG81" s="448">
        <v>1</v>
      </c>
      <c r="AH81" s="449">
        <f t="shared" si="14"/>
        <v>0</v>
      </c>
      <c r="AI81" s="447">
        <f>-(C50/2+5)</f>
        <v>-6</v>
      </c>
      <c r="AJ81" s="449">
        <f t="shared" si="12"/>
        <v>0</v>
      </c>
      <c r="AK81" s="453">
        <v>0</v>
      </c>
      <c r="AL81" s="449">
        <f t="shared" si="13"/>
        <v>0</v>
      </c>
      <c r="AM81" s="451" t="s">
        <v>340</v>
      </c>
    </row>
    <row r="82" spans="2:39" ht="15" thickBot="1">
      <c r="B82" s="51"/>
      <c r="C82" s="34"/>
      <c r="E82" s="399"/>
      <c r="I82" s="520"/>
      <c r="J82" s="297"/>
      <c r="AC82" s="30"/>
      <c r="AD82" s="446" t="s">
        <v>5</v>
      </c>
      <c r="AE82" s="448" t="s">
        <v>2</v>
      </c>
      <c r="AF82" s="447">
        <f>C40+5+C47</f>
        <v>13</v>
      </c>
      <c r="AG82" s="448">
        <f>IF((AH86+AH87+AH83+AH84)&gt;2000,4,2)</f>
        <v>2</v>
      </c>
      <c r="AH82" s="449">
        <f t="shared" si="14"/>
        <v>19.02333333333333</v>
      </c>
      <c r="AI82" s="447">
        <f>C40+C47-(C40+5+C47)/2</f>
        <v>1.5</v>
      </c>
      <c r="AJ82" s="449">
        <f t="shared" si="12"/>
        <v>28.534999999999997</v>
      </c>
      <c r="AK82" s="453">
        <v>0</v>
      </c>
      <c r="AL82" s="449">
        <f t="shared" si="13"/>
        <v>0</v>
      </c>
      <c r="AM82" s="451" t="s">
        <v>340</v>
      </c>
    </row>
    <row r="83" spans="2:39" ht="22.5" thickBot="1">
      <c r="B83" s="367" t="s">
        <v>423</v>
      </c>
      <c r="C83" s="39"/>
      <c r="D83" s="40"/>
      <c r="E83" s="40"/>
      <c r="F83" s="40"/>
      <c r="G83" s="40"/>
      <c r="H83" s="40"/>
      <c r="I83" s="520" t="str">
        <f>IF(AND(G81=C40/(C34-C28),G81&lt;=0.25)=TRUE,"OK","Adjust lever arm length (p) or height of pivot point (d).")</f>
        <v>OK</v>
      </c>
      <c r="J83" s="297"/>
      <c r="L83" s="82"/>
      <c r="AC83" s="30"/>
      <c r="AD83" s="446" t="s">
        <v>375</v>
      </c>
      <c r="AE83" s="448" t="s">
        <v>2</v>
      </c>
      <c r="AF83" s="447">
        <f>H153</f>
        <v>50.5</v>
      </c>
      <c r="AG83" s="448">
        <v>1</v>
      </c>
      <c r="AH83" s="449">
        <f>($C$62*AF83*AG83/12)</f>
        <v>65.56583333333333</v>
      </c>
      <c r="AI83" s="447">
        <f>AI76</f>
        <v>10</v>
      </c>
      <c r="AJ83" s="449">
        <f t="shared" ref="AJ83:AJ87" si="15">AI83*AH83</f>
        <v>655.6583333333333</v>
      </c>
      <c r="AK83" s="453">
        <f>C76</f>
        <v>18.5</v>
      </c>
      <c r="AL83" s="449">
        <f t="shared" ref="AL83:AL87" si="16">AH83*AK83</f>
        <v>1212.9679166666665</v>
      </c>
      <c r="AM83" s="451" t="s">
        <v>341</v>
      </c>
    </row>
    <row r="84" spans="2:39" ht="15" thickBot="1">
      <c r="B84" s="49"/>
      <c r="C84" s="34"/>
      <c r="I84" s="520"/>
      <c r="J84" s="295"/>
      <c r="L84" s="82"/>
      <c r="AC84" s="30"/>
      <c r="AD84" s="446" t="s">
        <v>374</v>
      </c>
      <c r="AE84" s="450">
        <f>(C59-2*C61)*(C60-2*C61)*H153/12^3</f>
        <v>0.56257233796296291</v>
      </c>
      <c r="AF84" s="447">
        <f>H155</f>
        <v>49.5</v>
      </c>
      <c r="AG84" s="449" t="str">
        <f>E155</f>
        <v>50</v>
      </c>
      <c r="AH84" s="449">
        <f>IF(AE161="",(AE84*490/2),AE161*VLOOKUP(C71,F173:H178,2,FALSE)*(AF84)/12)</f>
        <v>137.83022280092592</v>
      </c>
      <c r="AI84" s="447">
        <f>AI76</f>
        <v>10</v>
      </c>
      <c r="AJ84" s="449">
        <f t="shared" si="15"/>
        <v>1378.3022280092591</v>
      </c>
      <c r="AK84" s="453">
        <f>C76</f>
        <v>18.5</v>
      </c>
      <c r="AL84" s="449">
        <f t="shared" si="16"/>
        <v>2549.8591218171296</v>
      </c>
      <c r="AM84" s="451" t="s">
        <v>341</v>
      </c>
    </row>
    <row r="85" spans="2:39" ht="25.5" thickBot="1">
      <c r="B85" s="358" t="s">
        <v>460</v>
      </c>
      <c r="C85" s="32">
        <v>2</v>
      </c>
      <c r="D85" s="38" t="s">
        <v>0</v>
      </c>
      <c r="E85" s="398" t="s">
        <v>201</v>
      </c>
      <c r="F85" s="377" t="s">
        <v>432</v>
      </c>
      <c r="G85" s="93">
        <f>AF105</f>
        <v>1.6899890966621582</v>
      </c>
      <c r="I85" s="477" t="str">
        <f>IF(OR(AND(C85&lt;G85,C88&lt;&gt;"Yes"),AND(C88="Yes",C112&lt;G112)),"Increase pivot shaft diameter",IF(C85&gt;=C51-0.5,"Increase dynamic tubing width (m).","OK"))</f>
        <v>OK</v>
      </c>
      <c r="J85" s="298"/>
      <c r="L85" s="82"/>
      <c r="AC85" s="30"/>
      <c r="AD85" s="446" t="s">
        <v>377</v>
      </c>
      <c r="AE85" s="448" t="s">
        <v>2</v>
      </c>
      <c r="AF85" s="447">
        <f>IF((AH86+AH87+AH83+AH84)&gt;2000,(AF80),0)</f>
        <v>0</v>
      </c>
      <c r="AG85" s="448">
        <v>2</v>
      </c>
      <c r="AH85" s="449">
        <f>$C$49*AF85*AG85/12</f>
        <v>0</v>
      </c>
      <c r="AI85" s="447">
        <f>AI76</f>
        <v>10</v>
      </c>
      <c r="AJ85" s="449">
        <f t="shared" si="15"/>
        <v>0</v>
      </c>
      <c r="AK85" s="453">
        <f>AK80</f>
        <v>-9.75</v>
      </c>
      <c r="AL85" s="449">
        <f t="shared" si="16"/>
        <v>0</v>
      </c>
      <c r="AM85" s="451" t="s">
        <v>340</v>
      </c>
    </row>
    <row r="86" spans="2:39" ht="54" thickBot="1">
      <c r="B86" s="359" t="s">
        <v>419</v>
      </c>
      <c r="C86" s="310"/>
      <c r="D86" s="310"/>
      <c r="F86" s="87"/>
      <c r="H86" s="88"/>
      <c r="I86" s="311"/>
      <c r="J86" s="298"/>
      <c r="L86" s="82"/>
      <c r="AC86" s="30"/>
      <c r="AD86" s="446" t="s">
        <v>435</v>
      </c>
      <c r="AE86" s="450">
        <f>(PI()*C65*C67*C66/12^3)+(2*(((PI()*C65^2/4)-(C59*C60))*C47)/12^3)</f>
        <v>0.65697204234643147</v>
      </c>
      <c r="AF86" s="449" t="s">
        <v>4</v>
      </c>
      <c r="AG86" s="448" t="s">
        <v>4</v>
      </c>
      <c r="AH86" s="449">
        <f>490*AE86</f>
        <v>321.91630074975143</v>
      </c>
      <c r="AI86" s="447">
        <f>AI76</f>
        <v>10</v>
      </c>
      <c r="AJ86" s="449">
        <f t="shared" si="15"/>
        <v>3219.1630074975142</v>
      </c>
      <c r="AK86" s="453">
        <f>C76</f>
        <v>18.5</v>
      </c>
      <c r="AL86" s="449">
        <f t="shared" si="16"/>
        <v>5955.4515638704015</v>
      </c>
      <c r="AM86" s="451" t="s">
        <v>341</v>
      </c>
    </row>
    <row r="87" spans="2:39" ht="69" hidden="1" thickBot="1">
      <c r="B87" s="369" t="s">
        <v>452</v>
      </c>
      <c r="C87" s="310"/>
      <c r="D87" s="310"/>
      <c r="F87" s="87"/>
      <c r="H87" s="88"/>
      <c r="I87" s="311"/>
      <c r="J87" s="88"/>
      <c r="L87" s="82"/>
      <c r="AC87" s="30"/>
      <c r="AD87" s="454" t="s">
        <v>378</v>
      </c>
      <c r="AE87" s="455">
        <f>(((C65-2*C66)^2*(PI()/4)*(C67)/12^3)-(((C59*C60)*(C67))/12^3))</f>
        <v>8.8918432234427254</v>
      </c>
      <c r="AF87" s="456" t="s">
        <v>2</v>
      </c>
      <c r="AG87" s="456" t="s">
        <v>2</v>
      </c>
      <c r="AH87" s="457">
        <f>AE87*C56</f>
        <v>1289.3172673991951</v>
      </c>
      <c r="AI87" s="458">
        <f>AI76</f>
        <v>10</v>
      </c>
      <c r="AJ87" s="457">
        <f t="shared" si="15"/>
        <v>12893.17267399195</v>
      </c>
      <c r="AK87" s="459">
        <f>C76</f>
        <v>18.5</v>
      </c>
      <c r="AL87" s="457">
        <f t="shared" si="16"/>
        <v>23852.36944688511</v>
      </c>
      <c r="AM87" s="460" t="s">
        <v>341</v>
      </c>
    </row>
    <row r="88" spans="2:39" ht="18.75" thickBot="1">
      <c r="B88" s="357" t="s">
        <v>420</v>
      </c>
      <c r="C88" s="318" t="s">
        <v>314</v>
      </c>
      <c r="F88" s="87"/>
      <c r="H88" s="88"/>
      <c r="I88" s="311"/>
      <c r="J88" s="88"/>
      <c r="L88" s="82"/>
      <c r="AC88" s="30"/>
      <c r="AD88" s="461" t="s">
        <v>6</v>
      </c>
      <c r="AE88" s="462">
        <f>AI88</f>
        <v>9.6850810827225065</v>
      </c>
      <c r="AF88" s="463" t="s">
        <v>0</v>
      </c>
      <c r="AG88" s="463"/>
      <c r="AH88" s="464">
        <f>SUM(AH75:AH87)</f>
        <v>2274.800451829502</v>
      </c>
      <c r="AI88" s="462">
        <f>AJ88/AH88</f>
        <v>9.6850810827225065</v>
      </c>
      <c r="AJ88" s="464">
        <f>SUM(AJ75:AJ87)</f>
        <v>22031.626822982522</v>
      </c>
      <c r="AK88" s="462">
        <f>AL88/(AH88)</f>
        <v>11.333122837905394</v>
      </c>
      <c r="AL88" s="465">
        <f>SUM(AL75:AL87)</f>
        <v>25780.592952306437</v>
      </c>
      <c r="AM88" s="388"/>
    </row>
    <row r="89" spans="2:39" ht="30" thickBot="1">
      <c r="B89" s="369" t="s">
        <v>429</v>
      </c>
      <c r="F89" s="87"/>
      <c r="H89" s="88"/>
      <c r="I89" s="311"/>
      <c r="J89" s="88"/>
      <c r="L89" s="82"/>
      <c r="AC89" s="30"/>
      <c r="AD89" s="466" t="s">
        <v>7</v>
      </c>
      <c r="AE89" s="467">
        <f>AK88</f>
        <v>11.333122837905394</v>
      </c>
      <c r="AF89" s="468" t="s">
        <v>0</v>
      </c>
      <c r="AG89" s="468"/>
      <c r="AH89" s="468"/>
      <c r="AI89" s="468"/>
      <c r="AJ89" s="468"/>
      <c r="AK89" s="468" t="s">
        <v>34</v>
      </c>
      <c r="AL89" s="469"/>
      <c r="AM89" s="388"/>
    </row>
    <row r="90" spans="2:39" ht="17.25" thickBot="1">
      <c r="B90" s="368" t="s">
        <v>421</v>
      </c>
      <c r="D90" s="312" t="str">
        <f>IF(C88="Yes",C85,"")</f>
        <v/>
      </c>
      <c r="I90" s="311"/>
      <c r="J90" s="88"/>
      <c r="L90" s="82"/>
      <c r="AC90" s="30"/>
      <c r="AD90" s="388"/>
      <c r="AE90" s="388"/>
      <c r="AF90" s="388"/>
      <c r="AG90" s="470" t="s">
        <v>342</v>
      </c>
      <c r="AH90" s="471">
        <f>AH86+AH83</f>
        <v>387.48213408308476</v>
      </c>
      <c r="AI90" s="388"/>
      <c r="AJ90" s="388"/>
      <c r="AK90" s="388" t="s">
        <v>436</v>
      </c>
      <c r="AL90" s="472">
        <f>SUM(AH75:AH87)-AH87-AH84</f>
        <v>847.65296162938102</v>
      </c>
      <c r="AM90" s="388" t="s">
        <v>439</v>
      </c>
    </row>
    <row r="91" spans="2:39" ht="18.75" thickBot="1">
      <c r="B91" s="369" t="s">
        <v>422</v>
      </c>
      <c r="C91" s="383" t="s">
        <v>316</v>
      </c>
      <c r="D91" s="312"/>
      <c r="I91" s="311"/>
      <c r="J91" s="88"/>
      <c r="L91" s="82"/>
      <c r="AC91" s="30"/>
      <c r="AD91" s="388"/>
      <c r="AE91" s="388"/>
      <c r="AF91" s="388"/>
      <c r="AG91" s="470" t="s">
        <v>376</v>
      </c>
      <c r="AH91" s="471">
        <f>AH84+AH87+AH90</f>
        <v>1814.6296242832057</v>
      </c>
      <c r="AI91" s="388"/>
      <c r="AJ91" s="388"/>
      <c r="AK91" s="388" t="s">
        <v>438</v>
      </c>
      <c r="AL91" s="472">
        <f>SUM(AL75:AL87)-AL87-AL84</f>
        <v>-621.63561639580257</v>
      </c>
      <c r="AM91" s="388" t="s">
        <v>441</v>
      </c>
    </row>
    <row r="92" spans="2:39" ht="12.75">
      <c r="B92" s="359"/>
      <c r="D92" s="312"/>
      <c r="I92" s="311"/>
      <c r="J92" s="88"/>
      <c r="L92" s="82"/>
      <c r="AD92" s="388"/>
      <c r="AE92" s="388"/>
      <c r="AF92" s="388"/>
      <c r="AG92" s="388" t="s">
        <v>373</v>
      </c>
      <c r="AH92" s="471">
        <f>SUM(AH75:AH82,AH85)</f>
        <v>460.17082754629627</v>
      </c>
      <c r="AI92" s="388"/>
      <c r="AJ92" s="388"/>
      <c r="AK92" s="388" t="s">
        <v>437</v>
      </c>
      <c r="AL92" s="473">
        <f>AL91/AL90</f>
        <v>-0.73336099150869249</v>
      </c>
      <c r="AM92" s="388" t="s">
        <v>440</v>
      </c>
    </row>
    <row r="93" spans="2:39" ht="13.5" thickBot="1">
      <c r="B93" s="359"/>
      <c r="D93" s="312"/>
      <c r="I93" s="311"/>
      <c r="J93" s="88"/>
      <c r="L93" s="82"/>
      <c r="AF93" s="20"/>
      <c r="AM93" s="15"/>
    </row>
    <row r="94" spans="2:39" ht="12.75">
      <c r="B94" s="359"/>
      <c r="D94" s="312"/>
      <c r="I94" s="311"/>
      <c r="J94" s="88"/>
      <c r="L94" s="82"/>
      <c r="AE94" s="22" t="s">
        <v>293</v>
      </c>
      <c r="AF94" s="23"/>
      <c r="AG94" s="24"/>
      <c r="AH94" s="22" t="s">
        <v>43</v>
      </c>
      <c r="AI94" s="23"/>
      <c r="AJ94" s="23"/>
      <c r="AK94" s="24"/>
      <c r="AM94" s="15"/>
    </row>
    <row r="95" spans="2:39" ht="13.5">
      <c r="B95" s="359"/>
      <c r="D95" s="312"/>
      <c r="I95" s="311"/>
      <c r="J95" s="88"/>
      <c r="AE95" s="266" t="s">
        <v>359</v>
      </c>
      <c r="AF95" s="180"/>
      <c r="AG95" s="182"/>
      <c r="AH95" s="181">
        <f>3.33*((C12-C28)/12)^1.5*((D25)/12-0.2*(C12-C28)/12)</f>
        <v>51.006550446747163</v>
      </c>
      <c r="AI95" s="180"/>
      <c r="AJ95" s="180"/>
      <c r="AK95" s="182"/>
      <c r="AL95" s="180"/>
      <c r="AM95" s="183"/>
    </row>
    <row r="96" spans="2:39" ht="14.25" thickBot="1">
      <c r="B96" s="359"/>
      <c r="D96" s="312"/>
      <c r="I96" s="311"/>
      <c r="J96" s="88"/>
      <c r="AD96" s="183"/>
      <c r="AE96" s="301" t="s">
        <v>303</v>
      </c>
      <c r="AF96" s="183"/>
      <c r="AG96" s="186"/>
      <c r="AH96" s="185"/>
      <c r="AI96" s="183"/>
      <c r="AJ96" s="183"/>
      <c r="AK96" s="186"/>
      <c r="AL96" s="183"/>
      <c r="AM96" s="183"/>
    </row>
    <row r="97" spans="2:53" ht="12.75">
      <c r="B97" s="359"/>
      <c r="D97" s="312"/>
      <c r="I97" s="311"/>
      <c r="J97" s="88"/>
      <c r="M97" s="314" t="s">
        <v>313</v>
      </c>
      <c r="AD97" s="183"/>
      <c r="AE97" s="301" t="s">
        <v>300</v>
      </c>
      <c r="AF97" s="183"/>
      <c r="AG97" s="186"/>
      <c r="AH97" s="185"/>
      <c r="AI97" s="183"/>
      <c r="AJ97" s="183"/>
      <c r="AK97" s="186"/>
      <c r="AL97" s="183"/>
      <c r="AM97" s="183"/>
    </row>
    <row r="98" spans="2:53" ht="14.25" thickBot="1">
      <c r="B98" s="359"/>
      <c r="D98" s="312"/>
      <c r="I98" s="311"/>
      <c r="J98" s="88"/>
      <c r="M98" s="315" t="s">
        <v>314</v>
      </c>
      <c r="AD98" s="183"/>
      <c r="AE98" s="301" t="s">
        <v>312</v>
      </c>
      <c r="AF98" s="183">
        <v>2.5</v>
      </c>
      <c r="AG98" s="186" t="s">
        <v>294</v>
      </c>
      <c r="AH98" s="185"/>
      <c r="AI98" s="183"/>
      <c r="AJ98" s="183"/>
      <c r="AK98" s="186"/>
      <c r="AL98" s="183"/>
      <c r="AM98" s="183"/>
    </row>
    <row r="99" spans="2:53" ht="12.75">
      <c r="B99" s="359"/>
      <c r="D99" s="312"/>
      <c r="I99" s="311"/>
      <c r="J99" s="88"/>
      <c r="O99" s="179"/>
      <c r="P99" s="179"/>
      <c r="Q99" s="179"/>
      <c r="R99" s="179"/>
      <c r="S99" s="179"/>
      <c r="T99" s="179"/>
      <c r="U99" s="179"/>
      <c r="V99" s="179"/>
      <c r="W99" s="179"/>
      <c r="X99" s="179"/>
      <c r="Y99" s="179"/>
      <c r="Z99" s="179"/>
      <c r="AA99" s="179"/>
      <c r="AB99" s="179"/>
      <c r="AC99" s="180"/>
      <c r="AD99" s="183"/>
      <c r="AE99" s="301"/>
      <c r="AF99" s="306">
        <f>AF98/25.4</f>
        <v>9.8425196850393706E-2</v>
      </c>
      <c r="AG99" s="186" t="s">
        <v>0</v>
      </c>
      <c r="AH99" s="185"/>
      <c r="AI99" s="183"/>
      <c r="AJ99" s="183"/>
      <c r="AK99" s="186"/>
      <c r="AL99" s="183"/>
      <c r="AM99" s="183"/>
    </row>
    <row r="100" spans="2:53" ht="12.75">
      <c r="B100" s="359"/>
      <c r="D100" s="312"/>
      <c r="I100" s="311"/>
      <c r="J100" s="88"/>
      <c r="O100" s="179"/>
      <c r="P100" s="179"/>
      <c r="Q100" s="179"/>
      <c r="R100" s="179"/>
      <c r="S100" s="179"/>
      <c r="T100" s="179"/>
      <c r="U100" s="179"/>
      <c r="V100" s="179"/>
      <c r="W100" s="179"/>
      <c r="X100" s="179"/>
      <c r="Y100" s="179"/>
      <c r="Z100" s="179"/>
      <c r="AA100" s="179"/>
      <c r="AB100" s="179"/>
      <c r="AC100" s="183"/>
      <c r="AD100" s="183"/>
      <c r="AE100" s="301" t="s">
        <v>295</v>
      </c>
      <c r="AF100" s="183">
        <v>29700000</v>
      </c>
      <c r="AG100" s="186" t="s">
        <v>296</v>
      </c>
      <c r="AH100" s="185"/>
      <c r="AI100" s="183"/>
      <c r="AJ100" s="183"/>
      <c r="AK100" s="186"/>
      <c r="AL100" s="183"/>
      <c r="AM100" s="183"/>
    </row>
    <row r="101" spans="2:53" ht="13.5" thickBot="1">
      <c r="B101" s="359"/>
      <c r="D101" s="312"/>
      <c r="I101" s="311"/>
      <c r="J101" s="88"/>
      <c r="O101" s="179"/>
      <c r="P101" s="179"/>
      <c r="Q101" s="179"/>
      <c r="R101" s="179"/>
      <c r="S101" s="179"/>
      <c r="T101" s="179"/>
      <c r="U101" s="179"/>
      <c r="V101" s="179"/>
      <c r="W101" s="179"/>
      <c r="X101" s="179"/>
      <c r="Y101" s="179"/>
      <c r="Z101" s="179"/>
      <c r="AA101" s="179"/>
      <c r="AB101" s="179"/>
      <c r="AC101" s="183"/>
      <c r="AD101" s="183"/>
      <c r="AE101" s="301" t="s">
        <v>297</v>
      </c>
      <c r="AF101" s="183">
        <f>D25</f>
        <v>52.5</v>
      </c>
      <c r="AG101" s="186" t="s">
        <v>0</v>
      </c>
      <c r="AH101" s="185"/>
      <c r="AI101" s="183"/>
      <c r="AJ101" s="183"/>
      <c r="AK101" s="186"/>
      <c r="AL101" s="183"/>
      <c r="AM101" s="183"/>
    </row>
    <row r="102" spans="2:53" ht="12.75">
      <c r="B102" s="359"/>
      <c r="D102" s="312"/>
      <c r="I102" s="311"/>
      <c r="J102" s="88"/>
      <c r="L102" s="82"/>
      <c r="M102" s="314" t="s">
        <v>316</v>
      </c>
      <c r="O102" s="179"/>
      <c r="P102" s="179"/>
      <c r="Q102" s="179"/>
      <c r="R102" s="179"/>
      <c r="S102" s="179"/>
      <c r="T102" s="179"/>
      <c r="U102" s="179"/>
      <c r="V102" s="179"/>
      <c r="W102" s="179"/>
      <c r="X102" s="179"/>
      <c r="Y102" s="179"/>
      <c r="Z102" s="179"/>
      <c r="AA102" s="179"/>
      <c r="AB102" s="179"/>
      <c r="AC102" s="183"/>
      <c r="AE102" s="18" t="s">
        <v>298</v>
      </c>
      <c r="AF102" s="20">
        <f>0.5*(AF101-(H131-2*C43-2*C50-2))</f>
        <v>3</v>
      </c>
      <c r="AG102" s="17" t="s">
        <v>0</v>
      </c>
      <c r="AH102" s="18"/>
      <c r="AK102" s="17"/>
      <c r="AN102" s="179"/>
      <c r="AO102" s="179"/>
      <c r="AP102" s="184"/>
      <c r="AQ102" s="179"/>
      <c r="AR102" s="179"/>
      <c r="AS102" s="179"/>
      <c r="AT102" s="179"/>
      <c r="AU102" s="179"/>
      <c r="AV102" s="179"/>
      <c r="AW102" s="179"/>
      <c r="AX102" s="179"/>
      <c r="AY102" s="179"/>
      <c r="AZ102" s="179"/>
      <c r="BA102" s="179"/>
    </row>
    <row r="103" spans="2:53" ht="13.5" thickBot="1">
      <c r="B103" s="359"/>
      <c r="D103" s="312"/>
      <c r="I103" s="311"/>
      <c r="J103" s="88"/>
      <c r="M103" s="315" t="s">
        <v>317</v>
      </c>
      <c r="O103" s="179"/>
      <c r="P103" s="179"/>
      <c r="Q103" s="179"/>
      <c r="R103" s="179"/>
      <c r="S103" s="179"/>
      <c r="T103" s="179"/>
      <c r="U103" s="179"/>
      <c r="V103" s="179"/>
      <c r="W103" s="179"/>
      <c r="X103" s="179"/>
      <c r="Y103" s="179"/>
      <c r="Z103" s="179"/>
      <c r="AA103" s="179"/>
      <c r="AB103" s="179"/>
      <c r="AC103" s="183"/>
      <c r="AE103" s="18" t="s">
        <v>301</v>
      </c>
      <c r="AF103" s="166">
        <f>AH88/2</f>
        <v>1137.400225914751</v>
      </c>
      <c r="AG103" s="17" t="s">
        <v>302</v>
      </c>
      <c r="AH103" s="266" t="s">
        <v>44</v>
      </c>
      <c r="AI103" s="180"/>
      <c r="AJ103" s="180"/>
      <c r="AK103" s="17"/>
      <c r="AN103" s="179"/>
      <c r="AO103" s="179"/>
      <c r="AP103" s="184"/>
      <c r="AQ103" s="179"/>
      <c r="AR103" s="179"/>
      <c r="AS103" s="179"/>
      <c r="AT103" s="179"/>
      <c r="AU103" s="179"/>
      <c r="AV103" s="179"/>
      <c r="AW103" s="179"/>
      <c r="AX103" s="179"/>
      <c r="AY103" s="179"/>
      <c r="AZ103" s="179"/>
      <c r="BA103" s="179"/>
    </row>
    <row r="104" spans="2:53">
      <c r="B104" s="394"/>
      <c r="C104" s="395"/>
      <c r="D104" s="395"/>
      <c r="E104" s="393"/>
      <c r="F104" s="395"/>
      <c r="G104" s="395"/>
      <c r="H104" s="395"/>
      <c r="I104" s="396"/>
      <c r="J104" s="88"/>
      <c r="O104" s="179"/>
      <c r="P104" s="179"/>
      <c r="Q104" s="179"/>
      <c r="R104" s="179"/>
      <c r="S104" s="179"/>
      <c r="T104" s="179"/>
      <c r="U104" s="179"/>
      <c r="V104" s="179"/>
      <c r="W104" s="179"/>
      <c r="X104" s="179"/>
      <c r="Y104" s="179"/>
      <c r="Z104" s="179"/>
      <c r="AA104" s="179"/>
      <c r="AB104" s="179"/>
      <c r="AC104" s="183"/>
      <c r="AE104" s="18"/>
      <c r="AG104" s="17"/>
      <c r="AH104" s="266" t="s">
        <v>104</v>
      </c>
      <c r="AI104" s="180"/>
      <c r="AJ104" s="180"/>
      <c r="AK104" s="17"/>
      <c r="AN104" s="179"/>
      <c r="AO104" s="179"/>
      <c r="AP104" s="184"/>
      <c r="AQ104" s="179"/>
      <c r="AR104" s="179"/>
      <c r="AS104" s="179"/>
      <c r="AT104" s="179"/>
      <c r="AU104" s="179"/>
      <c r="AV104" s="179"/>
      <c r="AW104" s="179"/>
      <c r="AX104" s="179"/>
      <c r="AY104" s="179"/>
      <c r="AZ104" s="179"/>
      <c r="BA104" s="179"/>
    </row>
    <row r="105" spans="2:53" ht="12.75" thickBot="1">
      <c r="B105" s="394"/>
      <c r="C105" s="395"/>
      <c r="D105" s="395"/>
      <c r="F105" s="395"/>
      <c r="G105" s="395"/>
      <c r="H105" s="395"/>
      <c r="I105" s="396"/>
      <c r="J105" s="88"/>
      <c r="O105" s="179"/>
      <c r="P105" s="179"/>
      <c r="Q105" s="179"/>
      <c r="R105" s="179"/>
      <c r="S105" s="179"/>
      <c r="T105" s="179"/>
      <c r="U105" s="179"/>
      <c r="V105" s="179"/>
      <c r="W105" s="179"/>
      <c r="X105" s="179"/>
      <c r="Y105" s="179"/>
      <c r="Z105" s="179"/>
      <c r="AA105" s="179"/>
      <c r="AB105" s="179"/>
      <c r="AC105" s="183"/>
      <c r="AE105" s="174" t="s">
        <v>299</v>
      </c>
      <c r="AF105" s="302">
        <f>((AF103*64)/(24*AF100*PI()*AF99)*(3*AF101^2*AF102-4*AF102^3))^0.25</f>
        <v>1.6899890966621582</v>
      </c>
      <c r="AG105" s="26" t="s">
        <v>0</v>
      </c>
      <c r="AH105" s="266" t="s">
        <v>251</v>
      </c>
      <c r="AI105" s="180"/>
      <c r="AJ105" s="180"/>
      <c r="AK105" s="17"/>
      <c r="AN105" s="179"/>
      <c r="AO105" s="179"/>
      <c r="AP105" s="184"/>
      <c r="AQ105" s="179"/>
      <c r="AR105" s="179"/>
      <c r="AS105" s="179"/>
      <c r="AT105" s="179"/>
      <c r="AU105" s="179"/>
      <c r="AV105" s="179"/>
      <c r="AW105" s="179"/>
      <c r="AX105" s="179"/>
      <c r="AY105" s="179"/>
      <c r="AZ105" s="179"/>
      <c r="BA105" s="179"/>
    </row>
    <row r="106" spans="2:53" ht="12.75">
      <c r="B106" s="394"/>
      <c r="D106" s="312"/>
      <c r="I106" s="311"/>
      <c r="J106" s="88"/>
      <c r="L106" s="179"/>
      <c r="M106" s="179"/>
      <c r="N106" s="179"/>
      <c r="AE106" s="22" t="s">
        <v>318</v>
      </c>
      <c r="AF106" s="23"/>
      <c r="AG106" s="24"/>
      <c r="AH106" s="266" t="s">
        <v>252</v>
      </c>
      <c r="AI106" s="180"/>
      <c r="AJ106" s="180"/>
      <c r="AK106" s="17"/>
      <c r="AN106" s="179"/>
      <c r="AO106" s="179"/>
      <c r="AP106" s="184"/>
      <c r="AQ106" s="179"/>
      <c r="AR106" s="179"/>
      <c r="AS106" s="179"/>
      <c r="AT106" s="179"/>
      <c r="AU106" s="179"/>
      <c r="AV106" s="179"/>
      <c r="AW106" s="179"/>
      <c r="AX106" s="179"/>
      <c r="AY106" s="179"/>
      <c r="AZ106" s="179"/>
      <c r="BA106" s="179"/>
    </row>
    <row r="107" spans="2:53" ht="13.5">
      <c r="B107" s="394"/>
      <c r="D107" s="312"/>
      <c r="I107" s="311"/>
      <c r="J107" s="88"/>
      <c r="L107" s="179"/>
      <c r="M107" s="179"/>
      <c r="N107" s="179"/>
      <c r="AE107" s="18" t="s">
        <v>309</v>
      </c>
      <c r="AG107" s="17"/>
      <c r="AH107" s="266"/>
      <c r="AI107" s="180"/>
      <c r="AJ107" s="180"/>
      <c r="AK107" s="17"/>
      <c r="AN107" s="179"/>
      <c r="AO107" s="179"/>
      <c r="AP107" s="184"/>
      <c r="AQ107" s="179"/>
      <c r="AR107" s="179"/>
      <c r="AS107" s="179"/>
      <c r="AT107" s="179"/>
      <c r="AU107" s="179"/>
      <c r="AV107" s="179"/>
      <c r="AW107" s="179"/>
      <c r="AX107" s="179"/>
      <c r="AY107" s="179"/>
      <c r="AZ107" s="179"/>
      <c r="BA107" s="179"/>
    </row>
    <row r="108" spans="2:53" ht="13.5" thickBot="1">
      <c r="B108" s="394"/>
      <c r="D108" s="312"/>
      <c r="I108" s="311"/>
      <c r="J108" s="88"/>
      <c r="L108" s="179"/>
      <c r="M108" s="179"/>
      <c r="N108" s="179"/>
      <c r="AE108" s="308" t="s">
        <v>308</v>
      </c>
      <c r="AG108" s="17"/>
      <c r="AH108" s="266" t="s">
        <v>45</v>
      </c>
      <c r="AI108" s="264">
        <f>(1/12)*SQRT(C40^2+(C34-C28)^2)</f>
        <v>2.9828793881825733</v>
      </c>
      <c r="AJ108" s="180" t="s">
        <v>14</v>
      </c>
      <c r="AK108" s="17"/>
      <c r="AN108" s="179"/>
      <c r="AO108" s="179"/>
      <c r="AP108" s="184"/>
      <c r="AQ108" s="179"/>
      <c r="AR108" s="179"/>
      <c r="AS108" s="179"/>
      <c r="AT108" s="179"/>
      <c r="AU108" s="179"/>
      <c r="AV108" s="179"/>
      <c r="AW108" s="179"/>
      <c r="AX108" s="179"/>
      <c r="AY108" s="179"/>
      <c r="AZ108" s="179"/>
      <c r="BA108" s="179"/>
    </row>
    <row r="109" spans="2:53" ht="24" thickBot="1">
      <c r="B109" s="357" t="s">
        <v>424</v>
      </c>
      <c r="C109" s="420">
        <v>0.25</v>
      </c>
      <c r="D109" s="38" t="str">
        <f>IF(C88="yes","inches","")</f>
        <v/>
      </c>
      <c r="E109" s="321"/>
      <c r="F109" s="87"/>
      <c r="H109" s="88"/>
      <c r="I109" s="311"/>
      <c r="J109" s="88"/>
      <c r="L109" s="179"/>
      <c r="M109" s="179"/>
      <c r="N109" s="179"/>
      <c r="AE109" s="308"/>
      <c r="AG109" s="17"/>
      <c r="AH109" s="266"/>
      <c r="AI109" s="264"/>
      <c r="AJ109" s="180"/>
      <c r="AK109" s="17"/>
      <c r="AN109" s="179"/>
      <c r="AO109" s="179"/>
      <c r="AP109" s="184"/>
      <c r="AQ109" s="179"/>
      <c r="AR109" s="179"/>
      <c r="AS109" s="179"/>
      <c r="AT109" s="179"/>
      <c r="AU109" s="179"/>
      <c r="AV109" s="179"/>
      <c r="AW109" s="179"/>
      <c r="AX109" s="179"/>
      <c r="AY109" s="179"/>
      <c r="AZ109" s="179"/>
      <c r="BA109" s="179"/>
    </row>
    <row r="110" spans="2:53" ht="25.5" thickBot="1">
      <c r="B110" s="357" t="str">
        <f>"Strip clearance from dynamic frame arms"</f>
        <v>Strip clearance from dynamic frame arms</v>
      </c>
      <c r="C110" s="421">
        <v>10</v>
      </c>
      <c r="D110" s="38" t="str">
        <f>IF(C88="yes","inches","")</f>
        <v/>
      </c>
      <c r="E110" s="397" t="s">
        <v>326</v>
      </c>
      <c r="F110" s="87"/>
      <c r="H110" s="88"/>
      <c r="I110" s="370" t="s">
        <v>414</v>
      </c>
      <c r="J110" s="88"/>
      <c r="L110" s="179"/>
      <c r="M110" s="179"/>
      <c r="N110" s="179"/>
      <c r="AE110" s="308"/>
      <c r="AG110" s="17"/>
      <c r="AH110" s="266"/>
      <c r="AI110" s="264"/>
      <c r="AJ110" s="180"/>
      <c r="AK110" s="17"/>
      <c r="AN110" s="179"/>
      <c r="AO110" s="179"/>
      <c r="AP110" s="184"/>
      <c r="AQ110" s="179"/>
      <c r="AR110" s="179"/>
      <c r="AS110" s="179"/>
      <c r="AT110" s="179"/>
      <c r="AU110" s="179"/>
      <c r="AV110" s="179"/>
      <c r="AW110" s="179"/>
      <c r="AX110" s="179"/>
      <c r="AY110" s="179"/>
      <c r="AZ110" s="179"/>
      <c r="BA110" s="179"/>
    </row>
    <row r="111" spans="2:53" ht="43.5" thickBot="1">
      <c r="B111" s="371" t="str">
        <f>" Approximately "&amp;ROUND(AF155,0)&amp;" inch minimum needed to remove shaft with bearings and strip(s) (this depends on the size of the bearing, lever arm shaft hole clearance, etc)."</f>
        <v xml:space="preserve"> Approximately 8 inch minimum needed to remove shaft with bearings and strip(s) (this depends on the size of the bearing, lever arm shaft hole clearance, etc).</v>
      </c>
      <c r="C111" s="497"/>
      <c r="D111" s="316"/>
      <c r="E111" s="322"/>
      <c r="F111" s="87"/>
      <c r="H111" s="88"/>
      <c r="I111" s="382" t="s">
        <v>426</v>
      </c>
      <c r="J111" s="88"/>
      <c r="K111" s="179"/>
      <c r="L111" s="179"/>
      <c r="M111" s="179"/>
      <c r="N111" s="179"/>
      <c r="AE111" s="308"/>
      <c r="AG111" s="17"/>
      <c r="AH111" s="266"/>
      <c r="AI111" s="264"/>
      <c r="AJ111" s="180"/>
      <c r="AK111" s="17"/>
      <c r="AN111" s="179"/>
      <c r="AO111" s="179"/>
      <c r="AP111" s="184"/>
      <c r="AQ111" s="179"/>
      <c r="AR111" s="179"/>
      <c r="AS111" s="179"/>
      <c r="AT111" s="179"/>
      <c r="AU111" s="179"/>
      <c r="AV111" s="179"/>
      <c r="AW111" s="179"/>
      <c r="AX111" s="179"/>
      <c r="AY111" s="179"/>
      <c r="AZ111" s="179"/>
      <c r="BA111" s="179"/>
    </row>
    <row r="112" spans="2:53" ht="29.25" thickBot="1">
      <c r="B112" s="369" t="s">
        <v>315</v>
      </c>
      <c r="C112" s="422">
        <v>2</v>
      </c>
      <c r="D112" s="38" t="str">
        <f>IF(C88="yes","inches","")</f>
        <v/>
      </c>
      <c r="F112" s="378" t="s">
        <v>433</v>
      </c>
      <c r="G112" s="93">
        <f>IF(C91="Fixed",AF125,IF(C91="Rotating",AF137,"ERROR"))</f>
        <v>-2.6223337162863807</v>
      </c>
      <c r="H112" s="88"/>
      <c r="I112" s="501" t="str">
        <f>IF(C112&lt;G112,"Increase strip height","OK")</f>
        <v>OK</v>
      </c>
      <c r="J112" s="88"/>
      <c r="K112" s="179"/>
      <c r="L112" s="179"/>
      <c r="M112" s="179"/>
      <c r="N112" s="179"/>
      <c r="AE112" s="308"/>
      <c r="AG112" s="17"/>
      <c r="AH112" s="266"/>
      <c r="AI112" s="264"/>
      <c r="AJ112" s="180"/>
      <c r="AK112" s="17"/>
      <c r="AN112" s="179"/>
      <c r="AO112" s="179"/>
      <c r="AP112" s="184"/>
      <c r="AQ112" s="179"/>
      <c r="AR112" s="179"/>
      <c r="AS112" s="179"/>
      <c r="AT112" s="179"/>
      <c r="AU112" s="179"/>
      <c r="AV112" s="179"/>
      <c r="AW112" s="179"/>
      <c r="AX112" s="179"/>
      <c r="AY112" s="179"/>
      <c r="AZ112" s="179"/>
      <c r="BA112" s="179"/>
    </row>
    <row r="113" spans="2:53" ht="26.25" thickBot="1">
      <c r="B113" s="359" t="s">
        <v>427</v>
      </c>
      <c r="C113" s="313"/>
      <c r="D113" s="317"/>
      <c r="F113" s="87"/>
      <c r="H113" s="88"/>
      <c r="I113" s="498"/>
      <c r="J113" s="88"/>
      <c r="K113" s="179"/>
      <c r="L113" s="179"/>
      <c r="M113" s="179"/>
      <c r="N113" s="179"/>
      <c r="AE113" s="308"/>
      <c r="AG113" s="17"/>
      <c r="AH113" s="266"/>
      <c r="AI113" s="264"/>
      <c r="AJ113" s="180"/>
      <c r="AK113" s="17"/>
      <c r="AN113" s="179"/>
      <c r="AO113" s="179"/>
      <c r="AP113" s="184"/>
      <c r="AQ113" s="179"/>
      <c r="AR113" s="179"/>
      <c r="AS113" s="179"/>
      <c r="AT113" s="179"/>
      <c r="AU113" s="179"/>
      <c r="AV113" s="179"/>
      <c r="AW113" s="179"/>
      <c r="AX113" s="179"/>
      <c r="AY113" s="179"/>
      <c r="AZ113" s="179"/>
      <c r="BA113" s="179"/>
    </row>
    <row r="114" spans="2:53" ht="15.75" thickBot="1">
      <c r="B114" s="94" t="s">
        <v>31</v>
      </c>
      <c r="C114" s="95"/>
      <c r="D114" s="96"/>
      <c r="E114" s="40"/>
      <c r="F114" s="95"/>
      <c r="G114" s="95"/>
      <c r="H114" s="95"/>
      <c r="I114" s="97"/>
      <c r="J114" s="101"/>
      <c r="K114" s="179"/>
      <c r="L114" s="179"/>
      <c r="M114" s="179"/>
      <c r="N114" s="179"/>
      <c r="AE114" s="308"/>
      <c r="AG114" s="17"/>
      <c r="AH114" s="266"/>
      <c r="AI114" s="264"/>
      <c r="AJ114" s="180"/>
      <c r="AK114" s="17"/>
      <c r="AN114" s="179"/>
      <c r="AO114" s="179"/>
      <c r="AP114" s="184"/>
      <c r="AQ114" s="179"/>
      <c r="AR114" s="179"/>
      <c r="AS114" s="179"/>
      <c r="AT114" s="179"/>
      <c r="AU114" s="179"/>
      <c r="AV114" s="179"/>
      <c r="AW114" s="179"/>
      <c r="AX114" s="179"/>
      <c r="AY114" s="179"/>
      <c r="AZ114" s="179"/>
      <c r="BA114" s="179"/>
    </row>
    <row r="115" spans="2:53" ht="15">
      <c r="B115" s="384"/>
      <c r="C115" s="101"/>
      <c r="D115" s="99"/>
      <c r="F115" s="101"/>
      <c r="G115" s="101"/>
      <c r="H115" s="101"/>
      <c r="I115" s="102"/>
      <c r="J115" s="101"/>
      <c r="K115" s="179"/>
      <c r="L115" s="179"/>
      <c r="M115" s="179"/>
      <c r="N115" s="179"/>
      <c r="AE115" s="308"/>
      <c r="AG115" s="17"/>
      <c r="AH115" s="266"/>
      <c r="AI115" s="264"/>
      <c r="AJ115" s="180"/>
      <c r="AK115" s="17"/>
      <c r="AN115" s="179"/>
      <c r="AO115" s="179"/>
      <c r="AP115" s="184"/>
      <c r="AQ115" s="179"/>
      <c r="AR115" s="179"/>
      <c r="AS115" s="179"/>
      <c r="AT115" s="179"/>
      <c r="AU115" s="179"/>
      <c r="AV115" s="179"/>
      <c r="AW115" s="179"/>
      <c r="AX115" s="179"/>
      <c r="AY115" s="179"/>
      <c r="AZ115" s="179"/>
      <c r="BA115" s="179"/>
    </row>
    <row r="116" spans="2:53" ht="15" customHeight="1">
      <c r="B116" s="98"/>
      <c r="D116" s="99" t="s">
        <v>39</v>
      </c>
      <c r="E116" s="100">
        <f>C34</f>
        <v>37</v>
      </c>
      <c r="F116" s="101" t="s">
        <v>0</v>
      </c>
      <c r="G116" s="101"/>
      <c r="H116" s="101"/>
      <c r="I116" s="177"/>
      <c r="J116" s="101"/>
      <c r="K116" s="179"/>
      <c r="L116" s="179"/>
      <c r="M116" s="179"/>
      <c r="N116" s="179"/>
      <c r="AE116" s="308"/>
      <c r="AG116" s="17"/>
      <c r="AH116" s="266"/>
      <c r="AI116" s="264"/>
      <c r="AJ116" s="180"/>
      <c r="AK116" s="17"/>
      <c r="AN116" s="179"/>
      <c r="AO116" s="179"/>
      <c r="AP116" s="184"/>
      <c r="AQ116" s="179"/>
      <c r="AR116" s="179"/>
      <c r="AS116" s="179"/>
      <c r="AT116" s="179"/>
      <c r="AU116" s="179"/>
      <c r="AV116" s="179"/>
      <c r="AW116" s="179"/>
      <c r="AX116" s="179"/>
      <c r="AY116" s="179"/>
      <c r="AZ116" s="179"/>
      <c r="BA116" s="179"/>
    </row>
    <row r="117" spans="2:53" ht="15" customHeight="1">
      <c r="B117" s="98"/>
      <c r="D117" s="99" t="s">
        <v>23</v>
      </c>
      <c r="E117" s="103">
        <f>C40</f>
        <v>7.5</v>
      </c>
      <c r="F117" s="101" t="s">
        <v>0</v>
      </c>
      <c r="G117" s="101"/>
      <c r="H117" s="101"/>
      <c r="I117" s="102"/>
      <c r="J117" s="101"/>
      <c r="K117" s="179"/>
      <c r="L117" s="179"/>
      <c r="M117" s="179"/>
      <c r="N117" s="179"/>
      <c r="AE117" s="308"/>
      <c r="AG117" s="17"/>
      <c r="AH117" s="266"/>
      <c r="AI117" s="264"/>
      <c r="AJ117" s="180"/>
      <c r="AK117" s="17"/>
      <c r="AN117" s="179"/>
      <c r="AO117" s="179"/>
      <c r="AP117" s="184"/>
      <c r="AQ117" s="179"/>
      <c r="AR117" s="179"/>
      <c r="AS117" s="179"/>
      <c r="AT117" s="179"/>
      <c r="AU117" s="179"/>
      <c r="AV117" s="179"/>
      <c r="AW117" s="179"/>
      <c r="AX117" s="179"/>
      <c r="AY117" s="179"/>
      <c r="AZ117" s="179"/>
      <c r="BA117" s="179"/>
    </row>
    <row r="118" spans="2:53" ht="15" customHeight="1">
      <c r="B118" s="98"/>
      <c r="D118" s="99" t="s">
        <v>24</v>
      </c>
      <c r="E118" s="103">
        <f>C76</f>
        <v>18.5</v>
      </c>
      <c r="F118" s="101" t="s">
        <v>0</v>
      </c>
      <c r="G118" s="101"/>
      <c r="H118" s="101"/>
      <c r="I118" s="102"/>
      <c r="J118" s="101"/>
      <c r="K118" s="179"/>
      <c r="L118" s="179"/>
      <c r="M118" s="179"/>
      <c r="N118" s="179"/>
      <c r="AE118" s="18"/>
      <c r="AG118" s="17"/>
      <c r="AH118" s="266" t="s">
        <v>46</v>
      </c>
      <c r="AI118" s="180"/>
      <c r="AJ118" s="180"/>
      <c r="AK118" s="17"/>
    </row>
    <row r="119" spans="2:53" ht="15" customHeight="1">
      <c r="B119" s="502" t="s">
        <v>260</v>
      </c>
      <c r="C119" s="503"/>
      <c r="D119" s="503"/>
      <c r="E119" s="187" t="str">
        <f>F132</f>
        <v>2 x 4 x 0.25</v>
      </c>
      <c r="F119" s="101" t="s">
        <v>212</v>
      </c>
      <c r="G119" s="104">
        <f>ROUNDUP(1.1*(IF(F153=F132,(H153*E153+H132*E132+H133*E133+H134*E134+F135*E135+F136*E136+F137*E137+F138*E138)/12,(H132*E132+H133*E133+H134*E134+F135*E135+F136*E136+F137*E137+F138*E138)/12)),0)</f>
        <v>27</v>
      </c>
      <c r="H119" s="101" t="s">
        <v>264</v>
      </c>
      <c r="I119" s="102"/>
      <c r="J119" s="101"/>
      <c r="K119" s="179"/>
      <c r="L119" s="179"/>
      <c r="M119" s="179"/>
      <c r="N119" s="179"/>
      <c r="AE119" s="18" t="s">
        <v>299</v>
      </c>
      <c r="AF119" s="20">
        <f>C85</f>
        <v>2</v>
      </c>
      <c r="AG119" s="17" t="s">
        <v>0</v>
      </c>
      <c r="AH119" s="266" t="s">
        <v>47</v>
      </c>
      <c r="AI119" s="180"/>
      <c r="AJ119" s="180"/>
      <c r="AK119" s="17"/>
    </row>
    <row r="120" spans="2:53" ht="15" customHeight="1">
      <c r="B120" s="502"/>
      <c r="C120" s="503"/>
      <c r="D120" s="503"/>
      <c r="E120" s="187" t="str">
        <f>IF(F153&lt;&gt;F132,F153,"")</f>
        <v>6 x 4 x 0.25</v>
      </c>
      <c r="F120" s="101" t="str">
        <f>IF(E120="","","inches by")</f>
        <v>inches by</v>
      </c>
      <c r="G120" s="104">
        <f>IFERROR(ROUNDUP(1.1*(IF(F153&lt;&gt;F132,(H153*E153)/12,"")),0),"")</f>
        <v>5</v>
      </c>
      <c r="H120" s="101" t="s">
        <v>264</v>
      </c>
      <c r="I120" s="102"/>
      <c r="J120" s="101"/>
      <c r="K120" s="179"/>
      <c r="L120" s="179"/>
      <c r="M120" s="179"/>
      <c r="N120" s="179"/>
      <c r="AE120" s="18" t="s">
        <v>304</v>
      </c>
      <c r="AF120" s="2">
        <f>C109</f>
        <v>0.25</v>
      </c>
      <c r="AG120" s="17" t="s">
        <v>0</v>
      </c>
      <c r="AH120" s="266" t="s">
        <v>48</v>
      </c>
      <c r="AI120" s="180"/>
      <c r="AJ120" s="180"/>
      <c r="AK120" s="17"/>
    </row>
    <row r="121" spans="2:53" ht="15" customHeight="1">
      <c r="B121" s="502" t="s">
        <v>261</v>
      </c>
      <c r="C121" s="503"/>
      <c r="D121" s="503"/>
      <c r="E121" s="115" t="str">
        <f>F145</f>
        <v>2 x 8</v>
      </c>
      <c r="F121" s="101" t="s">
        <v>212</v>
      </c>
      <c r="G121" s="104">
        <f>ROUNDUP(1.1*(IF(F145=F146,(H145*E145+H146*E146+H147*E147)/12,(H145*E145)/12)),0)</f>
        <v>7</v>
      </c>
      <c r="H121" s="101" t="s">
        <v>264</v>
      </c>
      <c r="I121" s="102"/>
      <c r="J121" s="101"/>
      <c r="K121" s="179"/>
      <c r="L121" s="179"/>
      <c r="M121" s="179"/>
      <c r="N121" s="179"/>
      <c r="AE121" s="18" t="s">
        <v>305</v>
      </c>
      <c r="AF121" s="20">
        <f>C110</f>
        <v>10</v>
      </c>
      <c r="AG121" s="17" t="s">
        <v>0</v>
      </c>
      <c r="AH121" s="266" t="s">
        <v>49</v>
      </c>
      <c r="AI121" s="264">
        <f>D42/12</f>
        <v>2.5</v>
      </c>
      <c r="AJ121" s="180" t="s">
        <v>50</v>
      </c>
      <c r="AK121" s="17"/>
    </row>
    <row r="122" spans="2:53" ht="15" customHeight="1">
      <c r="B122" s="502"/>
      <c r="C122" s="503"/>
      <c r="D122" s="503"/>
      <c r="E122" s="187" t="str">
        <f>IF(F145&lt;&gt;F146,F146,"")</f>
        <v>2 x 2</v>
      </c>
      <c r="F122" s="101" t="str">
        <f>IF(E122="","","inches by")</f>
        <v>inches by</v>
      </c>
      <c r="G122" s="104">
        <f>IFERROR(ROUNDUP(1.1*(IF(F145&lt;&gt;F146,(H146*E146+H147*E147)/12,"")),0),"")</f>
        <v>13</v>
      </c>
      <c r="H122" s="101" t="s">
        <v>264</v>
      </c>
      <c r="I122" s="177" t="s">
        <v>265</v>
      </c>
      <c r="J122" s="101"/>
      <c r="K122" s="179"/>
      <c r="AE122" s="18" t="s">
        <v>306</v>
      </c>
      <c r="AF122" s="307">
        <f>PI()*AF119^4/64</f>
        <v>0.78539816339744828</v>
      </c>
      <c r="AG122" s="17" t="s">
        <v>0</v>
      </c>
      <c r="AH122" s="266" t="s">
        <v>51</v>
      </c>
      <c r="AI122" s="180"/>
      <c r="AJ122" s="180"/>
      <c r="AK122" s="17"/>
    </row>
    <row r="123" spans="2:53" ht="15" customHeight="1">
      <c r="B123" s="98"/>
      <c r="D123" s="99" t="s">
        <v>335</v>
      </c>
      <c r="E123" s="104">
        <f>AH92</f>
        <v>460.17082754629627</v>
      </c>
      <c r="F123" s="101" t="s">
        <v>1</v>
      </c>
      <c r="G123" s="101"/>
      <c r="H123" s="101"/>
      <c r="I123" s="102"/>
      <c r="J123" s="101"/>
      <c r="K123" s="179"/>
      <c r="AE123" s="18" t="s">
        <v>307</v>
      </c>
      <c r="AF123" s="307">
        <f>((AF103)*(AF101^2*AF102-4*AF102^3-4*AF102*AF121^2-8*AF102^2*AF121))/((8*AF100)*(AF99-(AF103/(6*AF100*AF122)*(2*AF102^3+6*AF102^2*AF121+3*AF102*AF121^2))))</f>
        <v>0.34623747202561661</v>
      </c>
      <c r="AG123" s="17" t="s">
        <v>310</v>
      </c>
      <c r="AH123" s="266" t="s">
        <v>52</v>
      </c>
      <c r="AI123" s="180"/>
      <c r="AJ123" s="180"/>
      <c r="AK123" s="17"/>
    </row>
    <row r="124" spans="2:53" ht="15" customHeight="1">
      <c r="B124" s="98"/>
      <c r="D124" s="99" t="s">
        <v>338</v>
      </c>
      <c r="E124" s="104">
        <f>AH90</f>
        <v>387.48213408308476</v>
      </c>
      <c r="F124" s="101" t="s">
        <v>339</v>
      </c>
      <c r="G124" s="101"/>
      <c r="H124" s="101"/>
      <c r="I124" s="102"/>
      <c r="J124" s="291"/>
      <c r="K124" s="179"/>
      <c r="AE124" s="18"/>
      <c r="AG124" s="17"/>
      <c r="AH124" s="266" t="s">
        <v>53</v>
      </c>
      <c r="AI124" s="180"/>
      <c r="AJ124" s="180"/>
      <c r="AK124" s="17"/>
    </row>
    <row r="125" spans="2:53" ht="15" customHeight="1" thickBot="1">
      <c r="B125" s="98"/>
      <c r="D125" s="99" t="s">
        <v>379</v>
      </c>
      <c r="E125" s="104">
        <f>AH91</f>
        <v>1814.6296242832057</v>
      </c>
      <c r="F125" s="101" t="str">
        <f>"pounds (counterweight filled with "&amp;C57&amp;" and rebar)"</f>
        <v>pounds (counterweight filled with Quikrete Concrete and rebar)</v>
      </c>
      <c r="G125" s="101"/>
      <c r="H125" s="101"/>
      <c r="I125" s="102"/>
      <c r="J125" s="101"/>
      <c r="K125" s="179"/>
      <c r="AE125" s="174" t="s">
        <v>311</v>
      </c>
      <c r="AF125" s="309">
        <f>1/4*((-3*AF119^4*PI()+8*AF119^3*AF120+192*AF123)/AF120)^(1/3)-(AF119/2)</f>
        <v>-2.6223337162863807</v>
      </c>
      <c r="AG125" s="26" t="s">
        <v>0</v>
      </c>
      <c r="AH125" s="266" t="s">
        <v>54</v>
      </c>
      <c r="AI125" s="180">
        <v>0.51</v>
      </c>
      <c r="AJ125" s="180"/>
      <c r="AK125" s="17"/>
    </row>
    <row r="126" spans="2:53" ht="15" customHeight="1">
      <c r="B126" s="98"/>
      <c r="D126" s="99" t="s">
        <v>336</v>
      </c>
      <c r="E126" s="104">
        <f>E125+E123</f>
        <v>2274.800451829502</v>
      </c>
      <c r="F126" s="101" t="s">
        <v>1</v>
      </c>
      <c r="G126" s="101"/>
      <c r="H126" s="101"/>
      <c r="I126" s="102"/>
      <c r="J126" s="101"/>
      <c r="K126" s="179"/>
      <c r="AE126" s="22" t="s">
        <v>319</v>
      </c>
      <c r="AF126" s="23"/>
      <c r="AG126" s="24"/>
      <c r="AH126" s="266" t="s">
        <v>55</v>
      </c>
      <c r="AI126" s="180">
        <f>D25/12</f>
        <v>4.375</v>
      </c>
      <c r="AJ126" s="180" t="s">
        <v>56</v>
      </c>
      <c r="AK126" s="17"/>
    </row>
    <row r="127" spans="2:53" ht="15" customHeight="1">
      <c r="B127" s="98"/>
      <c r="D127" s="105" t="s">
        <v>22</v>
      </c>
      <c r="E127" s="106">
        <f>ATAN((C40)/(AE89))*180/3.14</f>
        <v>33.512663920529477</v>
      </c>
      <c r="F127" s="107" t="s">
        <v>38</v>
      </c>
      <c r="I127" s="48"/>
      <c r="J127" s="101"/>
      <c r="AE127" s="18" t="s">
        <v>309</v>
      </c>
      <c r="AG127" s="17"/>
      <c r="AH127" s="18"/>
      <c r="AK127" s="17"/>
    </row>
    <row r="128" spans="2:53" ht="15" customHeight="1" thickBot="1">
      <c r="B128" s="351"/>
      <c r="C128" s="109"/>
      <c r="D128" s="110" t="s">
        <v>25</v>
      </c>
      <c r="E128" s="350">
        <f>AI145</f>
        <v>48.663807681099605</v>
      </c>
      <c r="F128" s="178" t="s">
        <v>156</v>
      </c>
      <c r="G128" s="352"/>
      <c r="H128" s="352"/>
      <c r="I128" s="353"/>
      <c r="J128" s="101"/>
      <c r="AE128" s="308" t="s">
        <v>308</v>
      </c>
      <c r="AG128" s="17"/>
      <c r="AH128" s="18"/>
      <c r="AK128" s="17"/>
    </row>
    <row r="129" spans="2:37" ht="15.75" thickBot="1">
      <c r="B129" s="111" t="s">
        <v>207</v>
      </c>
      <c r="C129" s="40"/>
      <c r="D129" s="112"/>
      <c r="E129" s="40"/>
      <c r="F129" s="114"/>
      <c r="G129" s="40"/>
      <c r="H129" s="40"/>
      <c r="I129" s="41"/>
      <c r="J129" s="101"/>
      <c r="AE129" s="18"/>
      <c r="AG129" s="17"/>
      <c r="AH129" s="18" t="s">
        <v>57</v>
      </c>
      <c r="AK129" s="17"/>
    </row>
    <row r="130" spans="2:37" ht="15">
      <c r="B130" s="386"/>
      <c r="D130" s="105"/>
      <c r="E130" s="385" t="s">
        <v>210</v>
      </c>
      <c r="F130" s="107"/>
      <c r="I130" s="48"/>
      <c r="J130" s="291"/>
      <c r="AE130" s="18" t="s">
        <v>299</v>
      </c>
      <c r="AF130" s="20">
        <f>C85</f>
        <v>2</v>
      </c>
      <c r="AG130" s="17" t="s">
        <v>0</v>
      </c>
      <c r="AH130" s="18" t="s">
        <v>59</v>
      </c>
      <c r="AK130" s="17"/>
    </row>
    <row r="131" spans="2:37" ht="36">
      <c r="B131" s="98"/>
      <c r="C131" s="425"/>
      <c r="D131" s="429" t="s">
        <v>180</v>
      </c>
      <c r="E131" s="430">
        <v>1</v>
      </c>
      <c r="F131" s="431">
        <f>C12+C38+C43-C28</f>
        <v>32.5</v>
      </c>
      <c r="G131" s="432" t="s">
        <v>211</v>
      </c>
      <c r="H131" s="347">
        <f>D45</f>
        <v>53.5</v>
      </c>
      <c r="I131" s="348" t="str">
        <f>"inches wide ("&amp;C47&amp;" inch wall thickness)"</f>
        <v>inches wide (0.5 inch wall thickness)</v>
      </c>
      <c r="J131" s="101"/>
      <c r="AE131" s="18" t="s">
        <v>304</v>
      </c>
      <c r="AF131" s="2">
        <f>C109</f>
        <v>0.25</v>
      </c>
      <c r="AG131" s="17" t="s">
        <v>0</v>
      </c>
      <c r="AH131" s="18" t="s">
        <v>58</v>
      </c>
      <c r="AI131" s="20">
        <f>AH95/(8.02*AI125*AI126*AI121^0.5)</f>
        <v>1.8027410465433056</v>
      </c>
      <c r="AJ131" s="2" t="s">
        <v>56</v>
      </c>
      <c r="AK131" s="17"/>
    </row>
    <row r="132" spans="2:37" ht="15" customHeight="1">
      <c r="B132" s="98"/>
      <c r="D132" s="105" t="s">
        <v>275</v>
      </c>
      <c r="E132" s="47">
        <f>AG82</f>
        <v>2</v>
      </c>
      <c r="F132" s="408" t="str">
        <f>CONCATENATE(C50," x ",C51," x ",C52)</f>
        <v>2 x 4 x 0.25</v>
      </c>
      <c r="G132" s="101" t="s">
        <v>212</v>
      </c>
      <c r="H132" s="103">
        <f>C40+C47+5</f>
        <v>13</v>
      </c>
      <c r="I132" s="102" t="s">
        <v>3</v>
      </c>
      <c r="J132" s="101"/>
      <c r="Z132" s="334"/>
      <c r="AC132" s="42"/>
      <c r="AE132" s="18" t="s">
        <v>305</v>
      </c>
      <c r="AF132" s="20">
        <f>C110</f>
        <v>10</v>
      </c>
      <c r="AG132" s="17" t="s">
        <v>0</v>
      </c>
      <c r="AH132" s="18" t="s">
        <v>60</v>
      </c>
      <c r="AK132" s="17"/>
    </row>
    <row r="133" spans="2:37" ht="15" customHeight="1">
      <c r="B133" s="98"/>
      <c r="D133" s="105" t="s">
        <v>273</v>
      </c>
      <c r="E133" s="47">
        <f>AG76+AG78</f>
        <v>2</v>
      </c>
      <c r="F133" s="408" t="str">
        <f>CONCATENATE(C50," x ",C51," x ",C52)</f>
        <v>2 x 4 x 0.25</v>
      </c>
      <c r="G133" s="101" t="s">
        <v>212</v>
      </c>
      <c r="H133" s="103">
        <f>AF76</f>
        <v>46.5</v>
      </c>
      <c r="I133" s="102" t="s">
        <v>3</v>
      </c>
      <c r="J133" s="101"/>
      <c r="AC133" s="42"/>
      <c r="AE133" s="18" t="s">
        <v>306</v>
      </c>
      <c r="AF133" s="307">
        <f>PI()*AF130^4/64</f>
        <v>0.78539816339744828</v>
      </c>
      <c r="AG133" s="17" t="s">
        <v>0</v>
      </c>
      <c r="AH133" s="18" t="s">
        <v>61</v>
      </c>
      <c r="AI133" s="21">
        <f>2*ASIN(AI131/(2*AI108))</f>
        <v>0.61396031188682809</v>
      </c>
      <c r="AJ133" s="2" t="s">
        <v>62</v>
      </c>
      <c r="AK133" s="17"/>
    </row>
    <row r="134" spans="2:37" ht="15" customHeight="1">
      <c r="B134" s="98"/>
      <c r="D134" s="105" t="s">
        <v>274</v>
      </c>
      <c r="E134" s="47">
        <f>AG80</f>
        <v>2</v>
      </c>
      <c r="F134" s="408" t="str">
        <f>CONCATENATE(C50," x ",C51," x ",C52)</f>
        <v>2 x 4 x 0.25</v>
      </c>
      <c r="G134" s="101" t="s">
        <v>212</v>
      </c>
      <c r="H134" s="103">
        <f>AF80</f>
        <v>50.5</v>
      </c>
      <c r="I134" s="102" t="s">
        <v>3</v>
      </c>
      <c r="J134" s="101"/>
      <c r="AC134" s="42"/>
      <c r="AE134" s="18" t="s">
        <v>307</v>
      </c>
      <c r="AF134" s="307">
        <f>((AF103)*(AF101^2*AF102-4*AF102^3-4*AF102*AF132^2-8*AF102^2*AF132))/((8*AF100)*(AF99-(AF103/(6*AF100*AF133)*(2*AF102^3+6*AF102^2*AF132+3*AF102*AF132^2))))</f>
        <v>0.34623747202561661</v>
      </c>
      <c r="AG134" s="17" t="s">
        <v>310</v>
      </c>
      <c r="AH134" s="18" t="s">
        <v>61</v>
      </c>
      <c r="AI134" s="19">
        <f>180/3.14*AI133</f>
        <v>35.195177114531546</v>
      </c>
      <c r="AJ134" s="2" t="s">
        <v>63</v>
      </c>
      <c r="AK134" s="17"/>
    </row>
    <row r="135" spans="2:37" ht="15" customHeight="1">
      <c r="B135" s="98"/>
      <c r="D135" s="116" t="s">
        <v>286</v>
      </c>
      <c r="E135" s="47">
        <f>IF(F135&gt;0,AG85,0)</f>
        <v>0</v>
      </c>
      <c r="F135" s="117">
        <f>AF85</f>
        <v>0</v>
      </c>
      <c r="G135" s="84" t="s">
        <v>0</v>
      </c>
      <c r="H135" s="569" t="s">
        <v>214</v>
      </c>
      <c r="I135" s="570"/>
      <c r="J135" s="101"/>
      <c r="AC135" s="42"/>
      <c r="AE135" s="18" t="s">
        <v>320</v>
      </c>
      <c r="AF135" s="307">
        <f>RADIANS(0.5*E127)</f>
        <v>0.29245316326377535</v>
      </c>
      <c r="AG135" s="17" t="s">
        <v>321</v>
      </c>
      <c r="AH135" s="18" t="s">
        <v>64</v>
      </c>
      <c r="AK135" s="17"/>
    </row>
    <row r="136" spans="2:37" ht="15" customHeight="1">
      <c r="B136" s="98"/>
      <c r="D136" s="116" t="s">
        <v>276</v>
      </c>
      <c r="E136" s="47">
        <f>IF(F136&gt;0,AG77,0)</f>
        <v>1</v>
      </c>
      <c r="F136" s="117">
        <f>AF77</f>
        <v>44.5</v>
      </c>
      <c r="G136" s="84" t="s">
        <v>0</v>
      </c>
      <c r="H136" s="569"/>
      <c r="I136" s="570"/>
      <c r="AC136" s="42"/>
      <c r="AH136" s="18" t="s">
        <v>65</v>
      </c>
      <c r="AK136" s="17"/>
    </row>
    <row r="137" spans="2:37" ht="15" customHeight="1" thickBot="1">
      <c r="B137" s="98"/>
      <c r="D137" s="116" t="s">
        <v>277</v>
      </c>
      <c r="E137" s="47">
        <f>IF(F137&gt;0,AG79,0)</f>
        <v>1</v>
      </c>
      <c r="F137" s="117">
        <f>AF79</f>
        <v>27.5</v>
      </c>
      <c r="G137" s="84" t="s">
        <v>0</v>
      </c>
      <c r="H137" s="569"/>
      <c r="I137" s="570"/>
      <c r="J137" s="101"/>
      <c r="AC137" s="42"/>
      <c r="AE137" s="174" t="s">
        <v>311</v>
      </c>
      <c r="AF137" s="309">
        <f>-32*2^(1/3)*AF131^3*SIN(AF135)^2/((SQRT((84934656*AF134*AF131^2*COS(AF135)^4-1327104*AF130^4*PI()*AF131^2*COS(AF135)^4+7077888*AF130^3*AF131^3*COS(AF135)^6+7077888*AF130*AF131^5*SIN(AF135)^2*COS(AF135)^4)^2+7421703487488*AF131^12*SIN(AF135)^6*COS(AF135)^6)+ 84934656*AF131^2*AF134*COS(AF135)^4-1327104*AF130^4*PI()*AF131^2*COS(AF135)^4+7077888*AF130^3*AF131^3*COS(AF135)^6+7077888*AF130*AF131^5*SIN(AF135)^2*COS(AF135)^4)^(1/3))+1/(384*(2)^(1/3)*AF131*COS(AF135)^2)*( SQRT((84934656*AF134*AF131^2*COS(AF135)^4-1327104*AF130^4*PI()*AF131^2*COS(AF135)^4+7077888*AF130^3*AF131^3*COS(AF135)^6+7077888*AF130*AF131^5*SIN(AF135)^2*COS(AF135)^4)^2+7421703487488*AF131^12*SIN(AF135)^6*COS(AF135)^6) +84934656*AF131^2*AF134*COS(AF135)^4-1327104*AF130^4*PI()*AF131^2*COS(AF135)^4+7077888*AF130^3*AF131^3*COS(AF135)^6+7077888*AF130*AF131^5*SIN(AF135)^2*COS(AF135)^4)^(1/3)-AF130/2</f>
        <v>-2.2321537959397624</v>
      </c>
      <c r="AG137" s="26" t="s">
        <v>0</v>
      </c>
      <c r="AH137" s="18"/>
      <c r="AK137" s="17"/>
    </row>
    <row r="138" spans="2:37" ht="15" customHeight="1" thickBot="1">
      <c r="B138" s="108"/>
      <c r="C138" s="61"/>
      <c r="D138" s="118" t="s">
        <v>278</v>
      </c>
      <c r="E138" s="409">
        <f>IF(F138&gt;0,AG81,0)</f>
        <v>0</v>
      </c>
      <c r="F138" s="119">
        <f>AF81</f>
        <v>0</v>
      </c>
      <c r="G138" s="65" t="s">
        <v>0</v>
      </c>
      <c r="H138" s="571"/>
      <c r="I138" s="572"/>
      <c r="J138" s="101"/>
      <c r="AC138" s="42"/>
      <c r="AE138" s="22" t="s">
        <v>327</v>
      </c>
      <c r="AF138" s="23"/>
      <c r="AG138" s="24"/>
      <c r="AH138" s="18" t="s">
        <v>66</v>
      </c>
      <c r="AK138" s="17"/>
    </row>
    <row r="139" spans="2:37" ht="15.75" thickBot="1">
      <c r="B139" s="111" t="s">
        <v>431</v>
      </c>
      <c r="C139" s="40"/>
      <c r="D139" s="410"/>
      <c r="E139" s="411"/>
      <c r="F139" s="412"/>
      <c r="G139" s="413"/>
      <c r="H139" s="414"/>
      <c r="I139" s="415"/>
      <c r="J139" s="101"/>
      <c r="AC139" s="42"/>
      <c r="AE139" s="324" t="s">
        <v>354</v>
      </c>
      <c r="AF139" s="325"/>
      <c r="AG139" s="325"/>
      <c r="AH139" s="18"/>
      <c r="AI139" s="19">
        <f>E127</f>
        <v>33.512663920529477</v>
      </c>
      <c r="AK139" s="17"/>
    </row>
    <row r="140" spans="2:37" ht="15">
      <c r="B140" s="386"/>
      <c r="D140" s="116"/>
      <c r="E140" s="47"/>
      <c r="F140" s="117"/>
      <c r="G140" s="84"/>
      <c r="H140" s="299"/>
      <c r="I140" s="407"/>
      <c r="J140" s="101"/>
      <c r="AC140" s="42"/>
      <c r="AE140" s="327" t="s">
        <v>343</v>
      </c>
      <c r="AF140" s="64">
        <f>C85</f>
        <v>2</v>
      </c>
      <c r="AG140" s="42" t="s">
        <v>0</v>
      </c>
      <c r="AH140" s="18" t="s">
        <v>67</v>
      </c>
      <c r="AK140" s="17"/>
    </row>
    <row r="141" spans="2:37" ht="26.25" customHeight="1">
      <c r="B141" s="98"/>
      <c r="D141" s="99" t="s">
        <v>137</v>
      </c>
      <c r="E141" s="47">
        <v>1</v>
      </c>
      <c r="F141" s="103">
        <f>C85</f>
        <v>2</v>
      </c>
      <c r="G141" s="101" t="s">
        <v>215</v>
      </c>
      <c r="H141" s="103">
        <f>D25+3</f>
        <v>55.5</v>
      </c>
      <c r="I141" s="102" t="s">
        <v>3</v>
      </c>
      <c r="J141" s="101"/>
      <c r="AC141" s="42"/>
      <c r="AE141" s="327" t="s">
        <v>344</v>
      </c>
      <c r="AF141" s="42">
        <f>VLOOKUP(AF140,$AH$148:$AI$159,2,FALSE)</f>
        <v>2.4375</v>
      </c>
      <c r="AG141" s="42" t="s">
        <v>0</v>
      </c>
      <c r="AH141" s="18"/>
      <c r="AI141" s="19">
        <f>IF(AI139&lt;AI134,AI139,AI134)</f>
        <v>33.512663920529477</v>
      </c>
      <c r="AJ141" s="2" t="s">
        <v>72</v>
      </c>
      <c r="AK141" s="25"/>
    </row>
    <row r="142" spans="2:37" ht="24.75" thickBot="1">
      <c r="B142" s="108"/>
      <c r="C142" s="416"/>
      <c r="D142" s="417" t="s">
        <v>430</v>
      </c>
      <c r="E142" s="418">
        <f>IF(AND(C88=M97,C91=M102),1,IF(AND(C88=M97,C91=M103),2,0))</f>
        <v>0</v>
      </c>
      <c r="F142" s="433">
        <f>IF(C88="Yes",AF101-2*AF102-2*C110,0)</f>
        <v>0</v>
      </c>
      <c r="G142" s="434" t="s">
        <v>212</v>
      </c>
      <c r="H142" s="433">
        <f>IF(C88="Yes",C112,0)</f>
        <v>0</v>
      </c>
      <c r="I142" s="419" t="str">
        <f>"inches tall ("&amp;IF(C88="Yes",C109,"0")&amp;" inch wall thickness)"</f>
        <v>inches tall (0 inch wall thickness)</v>
      </c>
      <c r="J142" s="101"/>
      <c r="AB142" s="15"/>
      <c r="AC142" s="15"/>
      <c r="AE142" s="327" t="s">
        <v>345</v>
      </c>
      <c r="AF142" s="64">
        <f>H141</f>
        <v>55.5</v>
      </c>
      <c r="AG142" s="42" t="s">
        <v>0</v>
      </c>
      <c r="AH142" s="18" t="s">
        <v>68</v>
      </c>
      <c r="AK142" s="17"/>
    </row>
    <row r="143" spans="2:37" ht="15.75" thickBot="1">
      <c r="B143" s="111" t="s">
        <v>208</v>
      </c>
      <c r="C143" s="40"/>
      <c r="D143" s="112"/>
      <c r="E143" s="113"/>
      <c r="F143" s="114"/>
      <c r="G143" s="40"/>
      <c r="H143" s="40"/>
      <c r="I143" s="41"/>
      <c r="J143" s="101"/>
      <c r="AC143" s="42"/>
      <c r="AE143" s="327" t="s">
        <v>346</v>
      </c>
      <c r="AF143" s="42">
        <f>AF142-3-2-2*AF144</f>
        <v>46.5</v>
      </c>
      <c r="AG143" s="42" t="s">
        <v>0</v>
      </c>
      <c r="AH143" s="18" t="s">
        <v>58</v>
      </c>
      <c r="AI143" s="21">
        <f>AI108*2*SIN(AI141*PI()/360)</f>
        <v>1.7199407295617724</v>
      </c>
      <c r="AJ143" s="2" t="s">
        <v>56</v>
      </c>
      <c r="AK143" s="17"/>
    </row>
    <row r="144" spans="2:37" ht="15.75" thickBot="1">
      <c r="B144" s="386"/>
      <c r="D144" s="105"/>
      <c r="E144" s="106"/>
      <c r="F144" s="107"/>
      <c r="I144" s="48"/>
      <c r="J144" s="101"/>
      <c r="AC144" s="42"/>
      <c r="AE144" s="327" t="s">
        <v>347</v>
      </c>
      <c r="AF144" s="64">
        <f>C50</f>
        <v>2</v>
      </c>
      <c r="AG144" s="42" t="s">
        <v>0</v>
      </c>
      <c r="AH144" s="18" t="s">
        <v>69</v>
      </c>
      <c r="AK144" s="17"/>
    </row>
    <row r="145" spans="2:37" ht="15" customHeight="1" thickBot="1">
      <c r="B145" s="98"/>
      <c r="D145" s="99" t="s">
        <v>279</v>
      </c>
      <c r="E145" s="47">
        <v>2</v>
      </c>
      <c r="F145" s="115" t="str">
        <f>CONCATENATE(C17," x ",C18)</f>
        <v>2 x 8</v>
      </c>
      <c r="G145" s="101" t="s">
        <v>212</v>
      </c>
      <c r="H145" s="103">
        <f>D37</f>
        <v>36</v>
      </c>
      <c r="I145" s="102" t="s">
        <v>3</v>
      </c>
      <c r="J145" s="101"/>
      <c r="AC145" s="42"/>
      <c r="AE145" s="327" t="s">
        <v>348</v>
      </c>
      <c r="AF145" s="64">
        <f>C51</f>
        <v>4</v>
      </c>
      <c r="AG145" s="42" t="s">
        <v>0</v>
      </c>
      <c r="AH145" s="27" t="s">
        <v>70</v>
      </c>
      <c r="AI145" s="28">
        <f>AI125*AI126*(AI121^0.5)*8.02*AI143</f>
        <v>48.663807681099605</v>
      </c>
      <c r="AJ145" s="29" t="s">
        <v>71</v>
      </c>
      <c r="AK145" s="26"/>
    </row>
    <row r="146" spans="2:37" ht="15" customHeight="1">
      <c r="B146" s="98"/>
      <c r="D146" s="99" t="s">
        <v>280</v>
      </c>
      <c r="E146" s="47">
        <v>2</v>
      </c>
      <c r="F146" s="115" t="str">
        <f>CONCATENATE(C27," x ",C28)</f>
        <v>2 x 2</v>
      </c>
      <c r="G146" s="101" t="s">
        <v>212</v>
      </c>
      <c r="H146" s="103">
        <f>D25</f>
        <v>52.5</v>
      </c>
      <c r="I146" s="102" t="s">
        <v>3</v>
      </c>
      <c r="J146" s="101"/>
      <c r="AC146" s="42"/>
      <c r="AE146" s="327" t="s">
        <v>349</v>
      </c>
      <c r="AF146" s="328">
        <v>0.5</v>
      </c>
      <c r="AG146" s="335" t="s">
        <v>356</v>
      </c>
      <c r="AH146" s="326" t="s">
        <v>355</v>
      </c>
    </row>
    <row r="147" spans="2:37" ht="15" customHeight="1">
      <c r="B147" s="98"/>
      <c r="D147" s="99" t="s">
        <v>281</v>
      </c>
      <c r="E147" s="47">
        <v>2</v>
      </c>
      <c r="F147" s="115" t="str">
        <f>CONCATENATE(C27," x ",C28)</f>
        <v>2 x 2</v>
      </c>
      <c r="G147" s="101" t="s">
        <v>212</v>
      </c>
      <c r="H147" s="103">
        <f>IF(C40&gt;8,(C40+6+C27-C17+C50),(C40+6+C27-C17))</f>
        <v>13.5</v>
      </c>
      <c r="I147" s="102" t="s">
        <v>3</v>
      </c>
      <c r="J147" s="101"/>
      <c r="AC147" s="42"/>
      <c r="AE147" s="327" t="s">
        <v>350</v>
      </c>
      <c r="AF147" s="329">
        <f>TAN((0.5*AF145+0.5*(AF140+AF146))/(AF143+AF144))</f>
        <v>6.7110790380410193E-2</v>
      </c>
      <c r="AG147" s="42" t="s">
        <v>321</v>
      </c>
      <c r="AH147" s="319" t="s">
        <v>328</v>
      </c>
      <c r="AI147" s="319" t="s">
        <v>329</v>
      </c>
    </row>
    <row r="148" spans="2:37" ht="15" customHeight="1" thickBot="1">
      <c r="B148" s="108"/>
      <c r="C148" s="61"/>
      <c r="D148" s="120" t="s">
        <v>164</v>
      </c>
      <c r="E148" s="424">
        <f>D24</f>
        <v>68.5</v>
      </c>
      <c r="F148" s="122" t="s">
        <v>165</v>
      </c>
      <c r="G148" s="61"/>
      <c r="H148" s="61"/>
      <c r="I148" s="123"/>
      <c r="J148" s="299"/>
      <c r="AC148" s="42"/>
      <c r="AE148" s="327"/>
      <c r="AF148" s="330">
        <f>DEGREES(AF147)</f>
        <v>3.8451650485846685</v>
      </c>
      <c r="AG148" s="42" t="s">
        <v>63</v>
      </c>
      <c r="AH148" s="319">
        <v>0.5</v>
      </c>
      <c r="AI148" s="320">
        <f>1+7/32</f>
        <v>1.21875</v>
      </c>
    </row>
    <row r="149" spans="2:37" ht="15.75" thickBot="1">
      <c r="B149" s="111" t="s">
        <v>291</v>
      </c>
      <c r="C149" s="40"/>
      <c r="D149" s="112"/>
      <c r="E149" s="113"/>
      <c r="F149" s="114"/>
      <c r="G149" s="40"/>
      <c r="H149" s="40"/>
      <c r="I149" s="41"/>
      <c r="J149" s="299"/>
      <c r="V149" s="327"/>
      <c r="AC149" s="42"/>
      <c r="AE149" s="327" t="s">
        <v>351</v>
      </c>
      <c r="AF149" s="330">
        <f>(0.5*AF145+0.5*(AF140+AF146))/SIN(AF147)</f>
        <v>48.463754545374755</v>
      </c>
      <c r="AG149" s="42" t="s">
        <v>0</v>
      </c>
      <c r="AH149" s="319">
        <f>5/8</f>
        <v>0.625</v>
      </c>
      <c r="AI149" s="320">
        <f>1+7/32</f>
        <v>1.21875</v>
      </c>
    </row>
    <row r="150" spans="2:37" ht="15">
      <c r="B150" s="386"/>
      <c r="D150" s="105"/>
      <c r="E150" s="106"/>
      <c r="F150" s="107"/>
      <c r="I150" s="48"/>
      <c r="J150" s="299"/>
      <c r="AC150" s="42"/>
      <c r="AE150" s="327" t="s">
        <v>195</v>
      </c>
      <c r="AF150" s="330">
        <f>AF144/COS(AF147)</f>
        <v>2.0045123256685753</v>
      </c>
      <c r="AG150" s="42" t="s">
        <v>0</v>
      </c>
      <c r="AH150" s="319">
        <f>3/4</f>
        <v>0.75</v>
      </c>
      <c r="AI150" s="320">
        <f>1+15/31</f>
        <v>1.4838709677419355</v>
      </c>
    </row>
    <row r="151" spans="2:37" ht="36">
      <c r="B151" s="98"/>
      <c r="C151" s="425"/>
      <c r="D151" s="426" t="s">
        <v>284</v>
      </c>
      <c r="E151" s="427">
        <v>1</v>
      </c>
      <c r="F151" s="347">
        <f>C65</f>
        <v>24</v>
      </c>
      <c r="G151" s="428" t="s">
        <v>215</v>
      </c>
      <c r="H151" s="347">
        <f>C67</f>
        <v>37.5</v>
      </c>
      <c r="I151" s="486" t="str">
        <f>"inch length ("&amp;C66&amp;" inch wall thickness)"</f>
        <v>inch length (0.25 inch wall thickness)</v>
      </c>
      <c r="J151" s="299"/>
      <c r="AC151" s="42"/>
      <c r="AE151" s="327" t="s">
        <v>171</v>
      </c>
      <c r="AF151" s="330">
        <f>((AF145-(AF140+AF146))/2+AF140+AF146-(AF144*TAN(AF147)))*SIN(AF147)</f>
        <v>0.20893188908558954</v>
      </c>
      <c r="AG151" s="42" t="s">
        <v>0</v>
      </c>
      <c r="AH151" s="319">
        <f>7/8</f>
        <v>0.875</v>
      </c>
      <c r="AI151" s="320">
        <f>1+17/32</f>
        <v>1.53125</v>
      </c>
    </row>
    <row r="152" spans="2:37" ht="15" customHeight="1">
      <c r="B152" s="98"/>
      <c r="D152" s="105" t="s">
        <v>285</v>
      </c>
      <c r="E152" s="47">
        <v>2</v>
      </c>
      <c r="F152" s="103">
        <f>C65</f>
        <v>24</v>
      </c>
      <c r="G152" s="107" t="s">
        <v>215</v>
      </c>
      <c r="H152" s="336">
        <f>D69</f>
        <v>0.5</v>
      </c>
      <c r="I152" s="303" t="s">
        <v>219</v>
      </c>
      <c r="J152" s="299"/>
      <c r="V152" s="327"/>
      <c r="AC152" s="42"/>
      <c r="AE152" s="327" t="s">
        <v>352</v>
      </c>
      <c r="AF152" s="330">
        <f>AF149-AF150-AF151</f>
        <v>46.250310330620586</v>
      </c>
      <c r="AG152" s="42" t="s">
        <v>0</v>
      </c>
      <c r="AH152" s="319">
        <f>1</f>
        <v>1</v>
      </c>
      <c r="AI152" s="320">
        <f>1+17/32</f>
        <v>1.53125</v>
      </c>
    </row>
    <row r="153" spans="2:37" ht="15" customHeight="1">
      <c r="B153" s="98"/>
      <c r="D153" s="99" t="s">
        <v>282</v>
      </c>
      <c r="E153" s="47">
        <v>1</v>
      </c>
      <c r="F153" s="115" t="str">
        <f>CONCATENATE(C59," x ",C60," x ",C61)</f>
        <v>6 x 4 x 0.25</v>
      </c>
      <c r="G153" s="101" t="s">
        <v>212</v>
      </c>
      <c r="H153" s="103">
        <f>D25-2</f>
        <v>50.5</v>
      </c>
      <c r="I153" s="102" t="s">
        <v>3</v>
      </c>
      <c r="AC153" s="42"/>
      <c r="AE153" s="327" t="s">
        <v>353</v>
      </c>
      <c r="AF153" s="64">
        <f>AF142-AF152+AF141-(0.5*(AF142-AF143))</f>
        <v>7.1871896693794142</v>
      </c>
      <c r="AG153" s="42" t="s">
        <v>0</v>
      </c>
      <c r="AH153" s="319">
        <f>1+3/16</f>
        <v>1.1875</v>
      </c>
      <c r="AI153" s="320">
        <f>1+21/32</f>
        <v>1.65625</v>
      </c>
    </row>
    <row r="154" spans="2:37" ht="15" customHeight="1">
      <c r="B154" s="98"/>
      <c r="D154" s="99" t="s">
        <v>283</v>
      </c>
      <c r="E154" s="47"/>
      <c r="F154" s="162">
        <f>AE87</f>
        <v>8.8918432234427254</v>
      </c>
      <c r="G154" s="101" t="str">
        <f>"cubic feet of "&amp;C57</f>
        <v>cubic feet of Quikrete Concrete</v>
      </c>
      <c r="H154" s="103"/>
      <c r="I154" s="102"/>
      <c r="J154" s="101"/>
      <c r="V154" s="327"/>
      <c r="AC154" s="42"/>
      <c r="AE154" s="327" t="s">
        <v>357</v>
      </c>
      <c r="AF154" s="328">
        <v>0.5</v>
      </c>
      <c r="AG154" s="42" t="s">
        <v>0</v>
      </c>
      <c r="AH154" s="319">
        <f>1.25</f>
        <v>1.25</v>
      </c>
      <c r="AI154" s="320">
        <f>1+53/64</f>
        <v>1.828125</v>
      </c>
    </row>
    <row r="155" spans="2:37" ht="15" customHeight="1" thickBot="1">
      <c r="B155" s="108"/>
      <c r="C155" s="61"/>
      <c r="D155" s="120" t="s">
        <v>259</v>
      </c>
      <c r="E155" s="304" t="str">
        <f>ROUND((D74)*12/(H153-1),0)&amp;IF(AE161&lt;&gt;"","*","")</f>
        <v>50</v>
      </c>
      <c r="F155" s="305" t="str">
        <f>"#"&amp;C71</f>
        <v>#4</v>
      </c>
      <c r="G155" s="122" t="s">
        <v>213</v>
      </c>
      <c r="H155" s="121">
        <f>H153-1</f>
        <v>49.5</v>
      </c>
      <c r="I155" s="123" t="str">
        <f>"inch length"&amp;IF(AE161&lt;&gt;""," ( *this is an OVERRIDE value)","")</f>
        <v>inch length</v>
      </c>
      <c r="J155" s="101"/>
      <c r="AC155" s="42"/>
      <c r="AE155" s="331" t="s">
        <v>358</v>
      </c>
      <c r="AF155" s="332">
        <f>ROUNDUP(AF153+AF154,0)</f>
        <v>8</v>
      </c>
      <c r="AG155" s="333" t="s">
        <v>0</v>
      </c>
      <c r="AH155" s="319">
        <f>1+7/16</f>
        <v>1.4375</v>
      </c>
      <c r="AI155" s="320">
        <f>1+53/64</f>
        <v>1.828125</v>
      </c>
    </row>
    <row r="156" spans="2:37" ht="15.75" thickBot="1">
      <c r="B156" s="111" t="s">
        <v>206</v>
      </c>
      <c r="C156" s="124"/>
      <c r="D156" s="40"/>
      <c r="E156" s="40"/>
      <c r="F156" s="40"/>
      <c r="G156" s="40"/>
      <c r="H156" s="40"/>
      <c r="I156" s="41"/>
      <c r="J156" s="101"/>
      <c r="AC156" s="42"/>
      <c r="AH156" s="319">
        <f>1.5</f>
        <v>1.5</v>
      </c>
      <c r="AI156" s="320">
        <f>2+1/16</f>
        <v>2.0625</v>
      </c>
    </row>
    <row r="157" spans="2:37" ht="15">
      <c r="B157" s="386"/>
      <c r="C157" s="387"/>
      <c r="I157" s="48"/>
      <c r="J157" s="101"/>
      <c r="AC157" s="42"/>
      <c r="AH157" s="319">
        <f>1.75</f>
        <v>1.75</v>
      </c>
      <c r="AI157" s="320">
        <f>2+9/64</f>
        <v>2.140625</v>
      </c>
    </row>
    <row r="158" spans="2:37" ht="16.5" thickBot="1">
      <c r="B158" s="98"/>
      <c r="C158" s="557" t="s">
        <v>99</v>
      </c>
      <c r="D158" s="557"/>
      <c r="E158" s="557"/>
      <c r="F158" s="546" t="s">
        <v>182</v>
      </c>
      <c r="G158" s="546"/>
      <c r="H158" s="546"/>
      <c r="I158" s="48"/>
      <c r="AH158" s="319">
        <f>1+15/16</f>
        <v>1.9375</v>
      </c>
      <c r="AI158" s="320">
        <f>2+23/64</f>
        <v>2.359375</v>
      </c>
    </row>
    <row r="159" spans="2:37" ht="24.75" thickBot="1">
      <c r="B159" s="98"/>
      <c r="C159" s="125" t="s">
        <v>82</v>
      </c>
      <c r="D159" s="126" t="s">
        <v>103</v>
      </c>
      <c r="E159" s="188" t="s">
        <v>83</v>
      </c>
      <c r="F159" s="125" t="s">
        <v>90</v>
      </c>
      <c r="G159" s="553" t="s">
        <v>91</v>
      </c>
      <c r="H159" s="554"/>
      <c r="I159" s="48"/>
      <c r="AH159" s="319">
        <v>2</v>
      </c>
      <c r="AI159" s="320">
        <f>2+7/16</f>
        <v>2.4375</v>
      </c>
    </row>
    <row r="160" spans="2:37" ht="12.75" thickBot="1">
      <c r="B160" s="98"/>
      <c r="C160" s="127" t="s">
        <v>84</v>
      </c>
      <c r="D160" s="128" t="s">
        <v>84</v>
      </c>
      <c r="E160" s="129" t="s">
        <v>85</v>
      </c>
      <c r="F160" s="130" t="s">
        <v>216</v>
      </c>
      <c r="G160" s="551" t="s">
        <v>220</v>
      </c>
      <c r="H160" s="552"/>
      <c r="I160" s="48"/>
      <c r="J160" s="300"/>
    </row>
    <row r="161" spans="2:53" ht="13.5" thickBot="1">
      <c r="B161" s="98"/>
      <c r="C161" s="526" t="s">
        <v>88</v>
      </c>
      <c r="D161" s="131">
        <v>0.3125</v>
      </c>
      <c r="E161" s="204">
        <v>6.32</v>
      </c>
      <c r="F161" s="132" t="s">
        <v>217</v>
      </c>
      <c r="G161" s="555" t="s">
        <v>221</v>
      </c>
      <c r="H161" s="556"/>
      <c r="I161" s="48"/>
      <c r="J161" s="300"/>
      <c r="AD161" s="279" t="s">
        <v>262</v>
      </c>
      <c r="AE161" s="280"/>
    </row>
    <row r="162" spans="2:53" ht="13.5" thickBot="1">
      <c r="B162" s="98"/>
      <c r="C162" s="527"/>
      <c r="D162" s="131">
        <v>0.25</v>
      </c>
      <c r="E162" s="205">
        <v>5.38</v>
      </c>
      <c r="F162" s="132" t="s">
        <v>254</v>
      </c>
      <c r="G162" s="549" t="s">
        <v>222</v>
      </c>
      <c r="H162" s="550"/>
      <c r="I162" s="48"/>
      <c r="J162" s="101"/>
      <c r="AD162" s="2" t="s">
        <v>263</v>
      </c>
      <c r="AE162" s="2">
        <f>ROUNDDOWN((C59-2*$C$61)/($C$71/8),0)*ROUNDDOWN((C60-2*$C$61)/($C$71/8),0)</f>
        <v>77</v>
      </c>
    </row>
    <row r="163" spans="2:53" ht="13.5" thickBot="1">
      <c r="B163" s="98"/>
      <c r="C163" s="528"/>
      <c r="D163" s="131">
        <v>0.1875</v>
      </c>
      <c r="E163" s="204">
        <v>4.3</v>
      </c>
      <c r="F163" s="130" t="s">
        <v>92</v>
      </c>
      <c r="G163" s="551">
        <v>708</v>
      </c>
      <c r="H163" s="552"/>
      <c r="I163" s="133"/>
      <c r="J163" s="101"/>
    </row>
    <row r="164" spans="2:53" ht="12.75" thickBot="1">
      <c r="B164" s="98"/>
      <c r="C164" s="526" t="s">
        <v>89</v>
      </c>
      <c r="D164" s="134">
        <v>0.3125</v>
      </c>
      <c r="E164" s="206">
        <v>10.53</v>
      </c>
      <c r="F164" s="135" t="s">
        <v>93</v>
      </c>
      <c r="G164" s="561">
        <v>711</v>
      </c>
      <c r="H164" s="562"/>
      <c r="I164" s="48"/>
      <c r="J164" s="101"/>
    </row>
    <row r="165" spans="2:53">
      <c r="B165" s="98"/>
      <c r="C165" s="527"/>
      <c r="D165" s="136">
        <v>0.25</v>
      </c>
      <c r="E165" s="207">
        <v>8.7799999999999994</v>
      </c>
      <c r="F165" s="130" t="s">
        <v>94</v>
      </c>
      <c r="G165" s="551" t="s">
        <v>224</v>
      </c>
      <c r="H165" s="552"/>
      <c r="I165" s="48"/>
    </row>
    <row r="166" spans="2:53" ht="12.75" thickBot="1">
      <c r="B166" s="98"/>
      <c r="C166" s="528"/>
      <c r="D166" s="136">
        <v>0.1875</v>
      </c>
      <c r="E166" s="207">
        <v>6.85</v>
      </c>
      <c r="F166" s="132" t="s">
        <v>95</v>
      </c>
      <c r="G166" s="549" t="s">
        <v>224</v>
      </c>
      <c r="H166" s="550"/>
      <c r="I166" s="48"/>
    </row>
    <row r="167" spans="2:53" ht="13.5" thickBot="1">
      <c r="B167" s="98"/>
      <c r="C167" s="526" t="s">
        <v>86</v>
      </c>
      <c r="D167" s="134">
        <v>0.3125</v>
      </c>
      <c r="E167" s="208">
        <v>10.54</v>
      </c>
      <c r="F167" s="135" t="s">
        <v>96</v>
      </c>
      <c r="G167" s="531" t="s">
        <v>223</v>
      </c>
      <c r="H167" s="532"/>
      <c r="I167" s="48"/>
    </row>
    <row r="168" spans="2:53" ht="12.75">
      <c r="B168" s="98"/>
      <c r="C168" s="527"/>
      <c r="D168" s="136">
        <v>0.25</v>
      </c>
      <c r="E168" s="209">
        <v>8.7799999999999994</v>
      </c>
      <c r="F168" s="130" t="s">
        <v>97</v>
      </c>
      <c r="G168" s="551" t="s">
        <v>218</v>
      </c>
      <c r="H168" s="552"/>
      <c r="I168" s="48"/>
    </row>
    <row r="169" spans="2:53" ht="13.5" thickBot="1">
      <c r="B169" s="98"/>
      <c r="C169" s="528"/>
      <c r="D169" s="137">
        <v>0.1875</v>
      </c>
      <c r="E169" s="210">
        <v>6.87</v>
      </c>
      <c r="F169" s="135" t="s">
        <v>98</v>
      </c>
      <c r="G169" s="531">
        <v>495</v>
      </c>
      <c r="H169" s="532"/>
      <c r="I169" s="48"/>
      <c r="AD169" s="388"/>
      <c r="AE169" s="388"/>
      <c r="AF169" s="388"/>
      <c r="AG169" s="388"/>
      <c r="AH169" s="388"/>
      <c r="AI169" s="388"/>
      <c r="AJ169" s="388"/>
      <c r="AK169" s="388"/>
      <c r="AL169" s="388"/>
      <c r="AM169" s="388"/>
      <c r="AN169" s="38"/>
      <c r="AO169" s="38"/>
      <c r="AP169" s="204"/>
      <c r="AQ169" s="38"/>
      <c r="AR169" s="38"/>
      <c r="AS169" s="38"/>
      <c r="AT169" s="38"/>
      <c r="AU169" s="38"/>
      <c r="AV169" s="38"/>
      <c r="AW169" s="38"/>
      <c r="AX169" s="38"/>
      <c r="AY169" s="38"/>
      <c r="AZ169" s="38"/>
      <c r="BA169" s="38"/>
    </row>
    <row r="170" spans="2:53">
      <c r="B170" s="98"/>
      <c r="C170" s="526" t="s">
        <v>87</v>
      </c>
      <c r="D170" s="134">
        <v>0.3125</v>
      </c>
      <c r="E170" s="206">
        <v>12.67</v>
      </c>
      <c r="F170" s="558" t="s">
        <v>153</v>
      </c>
      <c r="G170" s="559"/>
      <c r="H170" s="559"/>
      <c r="I170" s="48"/>
    </row>
    <row r="171" spans="2:53" ht="13.5" thickBot="1">
      <c r="B171" s="98"/>
      <c r="C171" s="527"/>
      <c r="D171" s="136">
        <v>0.25</v>
      </c>
      <c r="E171" s="207">
        <v>10.48</v>
      </c>
      <c r="F171" s="560"/>
      <c r="G171" s="557"/>
      <c r="H171" s="557"/>
      <c r="I171" s="48"/>
      <c r="J171" s="292"/>
    </row>
    <row r="172" spans="2:53" ht="12.75" thickBot="1">
      <c r="B172" s="98"/>
      <c r="C172" s="528"/>
      <c r="D172" s="137">
        <v>0.1875</v>
      </c>
      <c r="E172" s="211">
        <v>8.15</v>
      </c>
      <c r="F172" s="165" t="s">
        <v>151</v>
      </c>
      <c r="G172" s="547" t="s">
        <v>152</v>
      </c>
      <c r="H172" s="548"/>
      <c r="I172" s="48"/>
    </row>
    <row r="173" spans="2:53">
      <c r="B173" s="98"/>
      <c r="C173" s="526" t="s">
        <v>155</v>
      </c>
      <c r="D173" s="134">
        <v>0.375</v>
      </c>
      <c r="E173" s="206">
        <v>17.2</v>
      </c>
      <c r="F173" s="164">
        <v>3</v>
      </c>
      <c r="G173" s="529">
        <v>0.376</v>
      </c>
      <c r="H173" s="530"/>
      <c r="I173" s="48"/>
      <c r="K173" s="179"/>
      <c r="L173" s="179"/>
      <c r="M173" s="179"/>
      <c r="N173" s="179"/>
      <c r="O173" s="179"/>
      <c r="P173" s="179"/>
      <c r="Q173" s="179"/>
      <c r="R173" s="179"/>
      <c r="S173" s="38"/>
      <c r="T173" s="38"/>
      <c r="U173" s="38"/>
      <c r="V173" s="38"/>
      <c r="W173" s="38"/>
      <c r="X173" s="38"/>
      <c r="Y173" s="38"/>
      <c r="Z173" s="38"/>
      <c r="AA173" s="38"/>
      <c r="AB173" s="38"/>
      <c r="AC173" s="388"/>
    </row>
    <row r="174" spans="2:53" ht="12.75">
      <c r="B174" s="98"/>
      <c r="C174" s="527"/>
      <c r="D174" s="136">
        <v>0.3125</v>
      </c>
      <c r="E174" s="207">
        <v>14.78</v>
      </c>
      <c r="F174" s="138">
        <v>4</v>
      </c>
      <c r="G174" s="535">
        <v>0.66800000000000004</v>
      </c>
      <c r="H174" s="536"/>
      <c r="I174" s="48"/>
      <c r="K174" s="179"/>
      <c r="L174" s="179"/>
      <c r="M174" s="179"/>
      <c r="N174" s="179"/>
      <c r="O174" s="179"/>
      <c r="P174" s="179"/>
      <c r="Q174" s="179"/>
      <c r="R174" s="179"/>
    </row>
    <row r="175" spans="2:53" ht="13.5" thickBot="1">
      <c r="B175" s="98"/>
      <c r="C175" s="528"/>
      <c r="D175" s="137">
        <v>0.25</v>
      </c>
      <c r="E175" s="212">
        <v>12.18</v>
      </c>
      <c r="F175" s="138">
        <v>5</v>
      </c>
      <c r="G175" s="533">
        <v>1.0429999999999999</v>
      </c>
      <c r="H175" s="534"/>
      <c r="I175" s="48"/>
    </row>
    <row r="176" spans="2:53">
      <c r="B176" s="98"/>
      <c r="C176" s="526" t="s">
        <v>183</v>
      </c>
      <c r="D176" s="134">
        <v>0.375</v>
      </c>
      <c r="E176" s="206">
        <v>22.3</v>
      </c>
      <c r="F176" s="138">
        <v>6</v>
      </c>
      <c r="G176" s="533">
        <v>1.502</v>
      </c>
      <c r="H176" s="534"/>
      <c r="I176" s="48"/>
    </row>
    <row r="177" spans="2:29">
      <c r="B177" s="98"/>
      <c r="C177" s="527"/>
      <c r="D177" s="136">
        <v>0.3125</v>
      </c>
      <c r="E177" s="207">
        <v>19.059999999999999</v>
      </c>
      <c r="F177" s="138">
        <v>7</v>
      </c>
      <c r="G177" s="533">
        <v>2.044</v>
      </c>
      <c r="H177" s="534"/>
      <c r="I177" s="48"/>
    </row>
    <row r="178" spans="2:29" ht="13.5" thickBot="1">
      <c r="B178" s="98"/>
      <c r="C178" s="528"/>
      <c r="D178" s="137">
        <v>0.25</v>
      </c>
      <c r="E178" s="212">
        <v>15.58</v>
      </c>
      <c r="F178" s="139">
        <v>8</v>
      </c>
      <c r="G178" s="524">
        <v>2.67</v>
      </c>
      <c r="H178" s="525"/>
      <c r="I178" s="48"/>
    </row>
    <row r="179" spans="2:29" ht="12.75" thickBot="1">
      <c r="B179" s="98"/>
      <c r="C179" s="537" t="s">
        <v>225</v>
      </c>
      <c r="D179" s="537"/>
      <c r="E179" s="537"/>
      <c r="I179" s="48"/>
    </row>
    <row r="180" spans="2:29" ht="15" customHeight="1" thickBot="1">
      <c r="B180" s="111" t="s">
        <v>209</v>
      </c>
      <c r="C180" s="140"/>
      <c r="D180" s="134"/>
      <c r="E180" s="349"/>
      <c r="F180" s="40"/>
      <c r="G180" s="40"/>
      <c r="H180" s="40"/>
      <c r="I180" s="41"/>
    </row>
    <row r="181" spans="2:29" ht="15.75" thickBot="1">
      <c r="B181" s="386"/>
      <c r="C181" s="389"/>
      <c r="D181" s="136"/>
      <c r="E181" s="204"/>
      <c r="I181" s="48"/>
    </row>
    <row r="182" spans="2:29" ht="12.75">
      <c r="B182" s="98"/>
      <c r="C182" s="542" t="s">
        <v>361</v>
      </c>
      <c r="D182" s="544" t="s">
        <v>129</v>
      </c>
      <c r="E182" s="544"/>
      <c r="F182" s="545"/>
      <c r="G182" s="141"/>
      <c r="I182" s="48"/>
    </row>
    <row r="183" spans="2:29" ht="12.75">
      <c r="B183" s="98"/>
      <c r="C183" s="543"/>
      <c r="D183" s="478" t="s">
        <v>115</v>
      </c>
      <c r="E183" s="478" t="s">
        <v>116</v>
      </c>
      <c r="F183" s="479" t="s">
        <v>117</v>
      </c>
      <c r="G183" s="141"/>
      <c r="H183"/>
      <c r="I183" s="48"/>
    </row>
    <row r="184" spans="2:29" ht="13.9" customHeight="1">
      <c r="B184" s="98"/>
      <c r="C184" s="480" t="s">
        <v>118</v>
      </c>
      <c r="D184" s="481">
        <v>13.84</v>
      </c>
      <c r="E184" s="481">
        <v>23.27</v>
      </c>
      <c r="F184" s="482">
        <f t="shared" ref="F184:F190" si="17">E184-D184</f>
        <v>9.43</v>
      </c>
      <c r="G184" s="143"/>
      <c r="H184"/>
      <c r="I184" s="48"/>
    </row>
    <row r="185" spans="2:29" ht="13.9" customHeight="1">
      <c r="B185" s="98"/>
      <c r="C185" s="480" t="s">
        <v>119</v>
      </c>
      <c r="D185" s="481">
        <v>14.15</v>
      </c>
      <c r="E185" s="481">
        <v>23.99</v>
      </c>
      <c r="F185" s="482">
        <f t="shared" si="17"/>
        <v>9.8399999999999981</v>
      </c>
      <c r="G185" s="143"/>
      <c r="H185"/>
      <c r="I185" s="48"/>
      <c r="K185" s="46"/>
      <c r="AB185" s="77" t="s">
        <v>189</v>
      </c>
      <c r="AC185" s="2">
        <f>C76-0.5*C59-3</f>
        <v>12.5</v>
      </c>
    </row>
    <row r="186" spans="2:29" ht="13.9" customHeight="1">
      <c r="B186" s="98"/>
      <c r="C186" s="480" t="s">
        <v>120</v>
      </c>
      <c r="D186" s="481">
        <v>12.125</v>
      </c>
      <c r="E186" s="481">
        <v>19.875</v>
      </c>
      <c r="F186" s="482">
        <f t="shared" si="17"/>
        <v>7.75</v>
      </c>
      <c r="G186" s="143"/>
      <c r="H186"/>
      <c r="I186" s="48"/>
      <c r="K186" s="46"/>
      <c r="AB186" s="77" t="s">
        <v>77</v>
      </c>
      <c r="AC186" s="19">
        <f>C40</f>
        <v>7.5</v>
      </c>
    </row>
    <row r="187" spans="2:29" ht="13.9" customHeight="1">
      <c r="B187" s="98"/>
      <c r="C187" s="480" t="s">
        <v>121</v>
      </c>
      <c r="D187" s="481">
        <v>13.25</v>
      </c>
      <c r="E187" s="481">
        <v>22.25</v>
      </c>
      <c r="F187" s="482">
        <f t="shared" si="17"/>
        <v>9</v>
      </c>
      <c r="G187" s="143"/>
      <c r="H187"/>
      <c r="I187" s="48"/>
      <c r="K187" s="46"/>
      <c r="AB187" s="77" t="s">
        <v>10</v>
      </c>
      <c r="AC187" s="2">
        <f>C51</f>
        <v>4</v>
      </c>
    </row>
    <row r="188" spans="2:29" ht="13.9" customHeight="1">
      <c r="B188" s="98"/>
      <c r="C188" s="480" t="s">
        <v>122</v>
      </c>
      <c r="D188" s="481">
        <v>11.656000000000001</v>
      </c>
      <c r="E188" s="481">
        <v>18.702999999999999</v>
      </c>
      <c r="F188" s="482">
        <f t="shared" si="17"/>
        <v>7.0469999999999988</v>
      </c>
      <c r="G188" s="143"/>
      <c r="H188"/>
      <c r="I188" s="48"/>
      <c r="AB188" s="77" t="s">
        <v>226</v>
      </c>
      <c r="AC188" s="2">
        <f>C47</f>
        <v>0.5</v>
      </c>
    </row>
    <row r="189" spans="2:29" ht="12.75">
      <c r="B189" s="98"/>
      <c r="C189" s="480" t="s">
        <v>123</v>
      </c>
      <c r="D189" s="481">
        <v>16.5</v>
      </c>
      <c r="E189" s="481">
        <v>25.625</v>
      </c>
      <c r="F189" s="482">
        <f t="shared" si="17"/>
        <v>9.125</v>
      </c>
      <c r="G189" s="143"/>
      <c r="H189"/>
      <c r="I189" s="48"/>
      <c r="AB189" s="77" t="s">
        <v>186</v>
      </c>
      <c r="AC189" s="2">
        <f>H147-0.5*C27+C17+C47+0.5*C51</f>
        <v>17</v>
      </c>
    </row>
    <row r="190" spans="2:29" ht="13.9" customHeight="1">
      <c r="B190" s="98"/>
      <c r="C190" s="480" t="s">
        <v>124</v>
      </c>
      <c r="D190" s="481">
        <v>17</v>
      </c>
      <c r="E190" s="481">
        <v>26.875</v>
      </c>
      <c r="F190" s="482">
        <f t="shared" si="17"/>
        <v>9.875</v>
      </c>
      <c r="G190" s="143"/>
      <c r="H190"/>
      <c r="I190" s="48"/>
      <c r="AB190" s="77" t="s">
        <v>227</v>
      </c>
      <c r="AC190" s="166">
        <f>E127</f>
        <v>33.512663920529477</v>
      </c>
    </row>
    <row r="191" spans="2:29" ht="13.9" customHeight="1" thickBot="1">
      <c r="B191" s="98"/>
      <c r="C191" s="483" t="s">
        <v>480</v>
      </c>
      <c r="D191" s="484">
        <v>16.38</v>
      </c>
      <c r="E191" s="484">
        <v>27.98</v>
      </c>
      <c r="F191" s="485">
        <f t="shared" ref="F191" si="18">E191-D191</f>
        <v>11.600000000000001</v>
      </c>
      <c r="G191" s="143"/>
      <c r="H191"/>
      <c r="I191" s="48"/>
      <c r="AB191" s="77"/>
      <c r="AC191" s="166"/>
    </row>
    <row r="192" spans="2:29" ht="13.9" customHeight="1">
      <c r="B192" s="98"/>
      <c r="C192" s="346" t="s">
        <v>141</v>
      </c>
      <c r="E192" s="144"/>
      <c r="F192" s="144"/>
      <c r="G192" s="144"/>
      <c r="H192"/>
      <c r="I192" s="145"/>
      <c r="AB192" s="77" t="s">
        <v>228</v>
      </c>
      <c r="AC192" s="166">
        <f>ATAN(AC185/(AC186+AC187/2+AC188))*180/PI()</f>
        <v>51.340191745909912</v>
      </c>
    </row>
    <row r="193" spans="2:29" ht="13.9" customHeight="1">
      <c r="B193" s="98"/>
      <c r="C193" s="346" t="s">
        <v>130</v>
      </c>
      <c r="D193" s="144"/>
      <c r="E193" s="144"/>
      <c r="F193" s="144"/>
      <c r="G193" s="144"/>
      <c r="H193"/>
      <c r="I193" s="48"/>
      <c r="AB193" s="77" t="s">
        <v>193</v>
      </c>
      <c r="AC193" s="166">
        <f>SQRT(AC185^2+(AC186+0.5*AC187+AC188)^2)</f>
        <v>16.007810593582121</v>
      </c>
    </row>
    <row r="194" spans="2:29" ht="13.9" customHeight="1">
      <c r="B194" s="98"/>
      <c r="C194" s="346" t="s">
        <v>135</v>
      </c>
      <c r="D194" s="144"/>
      <c r="E194" s="144"/>
      <c r="F194" s="144"/>
      <c r="G194" s="144"/>
      <c r="H194"/>
      <c r="I194" s="48"/>
      <c r="AB194" s="77" t="s">
        <v>195</v>
      </c>
      <c r="AC194" s="2">
        <f>AC189-AC186-0.5*AC187-AC188</f>
        <v>7</v>
      </c>
    </row>
    <row r="195" spans="2:29" ht="13.9" customHeight="1">
      <c r="B195" s="98"/>
      <c r="C195" s="146"/>
      <c r="D195" s="147"/>
      <c r="E195" s="147"/>
      <c r="F195" s="147"/>
      <c r="G195" s="147"/>
      <c r="H195"/>
      <c r="I195" s="48"/>
      <c r="AB195" s="42" t="s">
        <v>229</v>
      </c>
      <c r="AC195" s="19">
        <f>SQRT(AC185^2+(AC186+0.5*AC187+AC188)^2+AC194^2-2*SQRT(AC185^2+(AC186+0.5*AC187+AC188)^2)*AC194*COS((180-AC190-AC192)*PI()/180))</f>
        <v>18.037619262322906</v>
      </c>
    </row>
    <row r="196" spans="2:29" ht="13.9" customHeight="1">
      <c r="B196" s="148"/>
      <c r="C196" s="149" t="s">
        <v>134</v>
      </c>
      <c r="F196"/>
      <c r="G196"/>
      <c r="H196"/>
      <c r="I196" s="48"/>
      <c r="AB196" s="42" t="s">
        <v>230</v>
      </c>
      <c r="AC196" s="19">
        <f>SQRT(AC185^2+AC189^2)</f>
        <v>21.100947846009191</v>
      </c>
    </row>
    <row r="197" spans="2:29" ht="13.9" customHeight="1">
      <c r="B197" s="148"/>
      <c r="C197" s="202">
        <f>AC189</f>
        <v>17</v>
      </c>
      <c r="D197" s="345" t="s">
        <v>369</v>
      </c>
      <c r="F197"/>
      <c r="G197"/>
      <c r="H197"/>
      <c r="I197" s="145"/>
    </row>
    <row r="198" spans="2:29" ht="13.9" customHeight="1">
      <c r="B198" s="148"/>
      <c r="C198" s="203">
        <f>AC185</f>
        <v>12.5</v>
      </c>
      <c r="D198" s="345" t="s">
        <v>370</v>
      </c>
      <c r="F198"/>
      <c r="G198"/>
      <c r="H198"/>
      <c r="I198" s="145"/>
    </row>
    <row r="199" spans="2:29" ht="12.75">
      <c r="B199" s="148"/>
      <c r="C199" s="203">
        <f>AC196</f>
        <v>21.100947846009191</v>
      </c>
      <c r="D199" s="345" t="s">
        <v>126</v>
      </c>
      <c r="E199"/>
      <c r="F199"/>
      <c r="G199"/>
      <c r="H199"/>
      <c r="I199" s="145"/>
    </row>
    <row r="200" spans="2:29" ht="12.75">
      <c r="B200" s="148"/>
      <c r="C200" s="203">
        <f>AC195</f>
        <v>18.037619262322906</v>
      </c>
      <c r="D200" s="345" t="s">
        <v>128</v>
      </c>
      <c r="F200"/>
      <c r="G200"/>
      <c r="H200"/>
      <c r="I200" s="145" t="s">
        <v>127</v>
      </c>
      <c r="J200"/>
    </row>
    <row r="201" spans="2:29" ht="12.75">
      <c r="B201" s="148"/>
      <c r="C201" s="203">
        <f>C199-C200</f>
        <v>3.0633285836862854</v>
      </c>
      <c r="D201" s="345" t="s">
        <v>138</v>
      </c>
      <c r="F201"/>
      <c r="G201"/>
      <c r="H201"/>
      <c r="I201" s="145"/>
    </row>
    <row r="202" spans="2:29" ht="12.75" thickBot="1">
      <c r="B202" s="98"/>
      <c r="I202" s="48"/>
    </row>
    <row r="203" spans="2:29">
      <c r="B203" s="98"/>
      <c r="D203" s="538" t="s">
        <v>132</v>
      </c>
      <c r="E203" s="540" t="s">
        <v>133</v>
      </c>
      <c r="I203" s="48"/>
    </row>
    <row r="204" spans="2:29">
      <c r="B204" s="98"/>
      <c r="D204" s="539"/>
      <c r="E204" s="541"/>
      <c r="I204" s="48"/>
    </row>
    <row r="205" spans="2:29" ht="12.75">
      <c r="B205" s="98"/>
      <c r="D205" s="150" t="str">
        <f t="shared" ref="D205:D210" si="19">IF(AND(E184&gt;($C$199+0.5),D184&lt;($C$200-1),F184&gt;$C$201),"OK","Constraint")</f>
        <v>OK</v>
      </c>
      <c r="E205" s="142" t="s">
        <v>118</v>
      </c>
      <c r="I205" s="48"/>
      <c r="J205"/>
    </row>
    <row r="206" spans="2:29" ht="13.5" thickBot="1">
      <c r="B206" s="98"/>
      <c r="D206" s="150" t="str">
        <f t="shared" si="19"/>
        <v>OK</v>
      </c>
      <c r="E206" s="142" t="s">
        <v>119</v>
      </c>
      <c r="I206" s="48"/>
      <c r="J206"/>
    </row>
    <row r="207" spans="2:29" ht="13.5" thickBot="1">
      <c r="B207" s="98"/>
      <c r="D207" s="150" t="str">
        <f t="shared" si="19"/>
        <v>Constraint</v>
      </c>
      <c r="E207" s="142" t="s">
        <v>120</v>
      </c>
      <c r="G207" s="406"/>
      <c r="H207" s="379" t="s">
        <v>131</v>
      </c>
      <c r="I207" s="405" t="str">
        <f>VLOOKUP(E213,D205:E212,2,FALSE)</f>
        <v>SC-2911</v>
      </c>
      <c r="J207"/>
    </row>
    <row r="208" spans="2:29" ht="12.75">
      <c r="B208" s="98"/>
      <c r="D208" s="150" t="str">
        <f t="shared" si="19"/>
        <v>OK</v>
      </c>
      <c r="E208" s="142" t="s">
        <v>121</v>
      </c>
      <c r="I208" s="48"/>
      <c r="J208"/>
    </row>
    <row r="209" spans="2:10" ht="12.75">
      <c r="B209" s="98"/>
      <c r="D209" s="150" t="str">
        <f t="shared" si="19"/>
        <v>Constraint</v>
      </c>
      <c r="E209" s="142" t="s">
        <v>122</v>
      </c>
      <c r="I209" s="48"/>
      <c r="J209"/>
    </row>
    <row r="210" spans="2:10" ht="12.75">
      <c r="B210" s="98"/>
      <c r="D210" s="150" t="str">
        <f t="shared" si="19"/>
        <v>OK</v>
      </c>
      <c r="E210" s="142" t="s">
        <v>123</v>
      </c>
      <c r="I210" s="48"/>
    </row>
    <row r="211" spans="2:10" ht="12.75">
      <c r="B211" s="98"/>
      <c r="D211" s="150" t="str">
        <f>IF(AND(E190&gt;($C$199+0.5),D190&lt;($C$200-1),F190&gt;$C$201),"OK","Constraint")</f>
        <v>OK</v>
      </c>
      <c r="E211" s="142" t="s">
        <v>124</v>
      </c>
      <c r="I211" s="48"/>
    </row>
    <row r="212" spans="2:10" ht="13.5" thickBot="1">
      <c r="B212" s="98"/>
      <c r="D212" s="151" t="str">
        <f>IF(AND(E191&gt;($C$199+0.5),D191&lt;($C$200-1),F191&gt;$C$201),"OK","Constraint")</f>
        <v>OK</v>
      </c>
      <c r="E212" s="152" t="s">
        <v>480</v>
      </c>
      <c r="I212" s="48"/>
    </row>
    <row r="213" spans="2:10" ht="13.5" thickBot="1">
      <c r="B213" s="98"/>
      <c r="E213" s="153" t="s">
        <v>125</v>
      </c>
      <c r="I213" s="48"/>
    </row>
    <row r="214" spans="2:10" ht="15.75" thickBot="1">
      <c r="B214" s="154" t="s">
        <v>143</v>
      </c>
      <c r="C214" s="40"/>
      <c r="D214" s="96"/>
      <c r="E214" s="155"/>
      <c r="F214" s="156"/>
      <c r="G214" s="40"/>
      <c r="H214" s="40"/>
      <c r="I214" s="41"/>
    </row>
    <row r="215" spans="2:10" ht="15">
      <c r="B215" s="392"/>
      <c r="D215" s="99"/>
      <c r="E215" s="390"/>
      <c r="F215" s="391"/>
      <c r="I215" s="48"/>
    </row>
    <row r="216" spans="2:10">
      <c r="B216" s="157" t="s">
        <v>26</v>
      </c>
      <c r="C216" s="76" t="s">
        <v>139</v>
      </c>
      <c r="I216" s="48"/>
    </row>
    <row r="217" spans="2:10">
      <c r="B217" s="157" t="s">
        <v>27</v>
      </c>
      <c r="C217" s="76" t="s">
        <v>442</v>
      </c>
      <c r="I217" s="48"/>
    </row>
    <row r="218" spans="2:10">
      <c r="B218" s="158"/>
      <c r="C218" s="344" t="s">
        <v>443</v>
      </c>
      <c r="I218" s="48"/>
    </row>
    <row r="219" spans="2:10">
      <c r="B219" s="157" t="s">
        <v>28</v>
      </c>
      <c r="C219" s="76" t="s">
        <v>364</v>
      </c>
      <c r="I219" s="48"/>
    </row>
    <row r="220" spans="2:10">
      <c r="B220" s="157" t="s">
        <v>29</v>
      </c>
      <c r="C220" s="76" t="s">
        <v>362</v>
      </c>
      <c r="I220" s="48"/>
    </row>
    <row r="221" spans="2:10">
      <c r="B221" s="157"/>
      <c r="C221" s="344" t="s">
        <v>363</v>
      </c>
      <c r="I221" s="48"/>
    </row>
    <row r="222" spans="2:10">
      <c r="B222" s="160" t="s">
        <v>30</v>
      </c>
      <c r="C222" s="76" t="s">
        <v>365</v>
      </c>
      <c r="I222" s="48"/>
    </row>
    <row r="223" spans="2:10">
      <c r="B223" s="160" t="s">
        <v>74</v>
      </c>
      <c r="C223" s="76" t="s">
        <v>366</v>
      </c>
      <c r="I223" s="48"/>
    </row>
    <row r="224" spans="2:10">
      <c r="B224" s="160"/>
      <c r="C224" s="344" t="s">
        <v>367</v>
      </c>
      <c r="I224" s="48"/>
    </row>
    <row r="225" spans="2:9">
      <c r="B225" s="160"/>
      <c r="C225" s="344" t="s">
        <v>368</v>
      </c>
      <c r="I225" s="48"/>
    </row>
    <row r="226" spans="2:9">
      <c r="B226" s="160" t="s">
        <v>78</v>
      </c>
      <c r="C226" s="76" t="s">
        <v>181</v>
      </c>
      <c r="I226" s="48"/>
    </row>
    <row r="227" spans="2:9">
      <c r="B227" s="160" t="s">
        <v>79</v>
      </c>
      <c r="C227" s="76" t="s">
        <v>142</v>
      </c>
      <c r="I227" s="48"/>
    </row>
    <row r="228" spans="2:9">
      <c r="B228" s="160" t="s">
        <v>81</v>
      </c>
      <c r="C228" s="76" t="s">
        <v>444</v>
      </c>
      <c r="I228" s="48"/>
    </row>
    <row r="229" spans="2:9">
      <c r="B229" s="160"/>
      <c r="C229" s="344" t="s">
        <v>445</v>
      </c>
      <c r="I229" s="48"/>
    </row>
    <row r="230" spans="2:9">
      <c r="B230" s="160"/>
      <c r="C230" s="344" t="s">
        <v>446</v>
      </c>
      <c r="I230" s="48"/>
    </row>
    <row r="231" spans="2:9" ht="12" customHeight="1">
      <c r="B231" s="160"/>
      <c r="C231" s="344" t="s">
        <v>447</v>
      </c>
      <c r="I231" s="48"/>
    </row>
    <row r="232" spans="2:9">
      <c r="B232" s="98"/>
      <c r="C232" s="344" t="s">
        <v>448</v>
      </c>
      <c r="I232" s="48"/>
    </row>
    <row r="233" spans="2:9">
      <c r="B233" s="98"/>
      <c r="C233" s="344" t="s">
        <v>449</v>
      </c>
      <c r="I233" s="48"/>
    </row>
    <row r="234" spans="2:9">
      <c r="B234" s="98"/>
      <c r="C234" s="380" t="s">
        <v>450</v>
      </c>
      <c r="F234" s="88"/>
      <c r="I234" s="48"/>
    </row>
    <row r="235" spans="2:9">
      <c r="B235" s="98"/>
      <c r="C235" s="380" t="s">
        <v>451</v>
      </c>
      <c r="F235" s="55"/>
      <c r="G235" s="83"/>
      <c r="I235" s="48"/>
    </row>
    <row r="236" spans="2:9">
      <c r="B236" s="98"/>
      <c r="C236" s="344" t="s">
        <v>159</v>
      </c>
      <c r="I236" s="48"/>
    </row>
    <row r="237" spans="2:9" ht="12.75" thickBot="1">
      <c r="B237" s="108"/>
      <c r="C237" s="381" t="s">
        <v>158</v>
      </c>
      <c r="D237" s="61"/>
      <c r="E237" s="61"/>
      <c r="F237" s="61"/>
      <c r="G237" s="61"/>
      <c r="H237" s="61"/>
      <c r="I237" s="45"/>
    </row>
    <row r="238" spans="2:9" hidden="1">
      <c r="C238" s="159"/>
    </row>
    <row r="239" spans="2:9" hidden="1">
      <c r="B239" s="42"/>
      <c r="C239" s="42"/>
      <c r="D239" s="42"/>
      <c r="E239" s="42"/>
      <c r="F239" s="42"/>
      <c r="G239" s="42"/>
      <c r="H239" s="42"/>
      <c r="I239" s="42"/>
    </row>
    <row r="240" spans="2:9" hidden="1">
      <c r="B240" s="42"/>
      <c r="C240" s="42"/>
      <c r="D240" s="42"/>
      <c r="E240" s="42"/>
      <c r="F240" s="42"/>
      <c r="G240" s="42"/>
      <c r="H240" s="42"/>
      <c r="I240" s="42"/>
    </row>
    <row r="241" spans="1:9" hidden="1">
      <c r="B241" s="42"/>
      <c r="C241" s="42"/>
      <c r="D241" s="42"/>
      <c r="E241" s="42"/>
      <c r="F241" s="42"/>
      <c r="G241" s="42"/>
      <c r="H241" s="42"/>
      <c r="I241" s="42"/>
    </row>
    <row r="242" spans="1:9" hidden="1">
      <c r="B242" s="42"/>
      <c r="C242" s="42"/>
      <c r="D242" s="42"/>
      <c r="E242" s="42"/>
      <c r="F242" s="42"/>
      <c r="G242" s="42"/>
      <c r="H242" s="42"/>
      <c r="I242" s="42"/>
    </row>
    <row r="243" spans="1:9" hidden="1">
      <c r="B243" s="42"/>
      <c r="C243" s="42"/>
      <c r="D243" s="42"/>
      <c r="E243" s="42"/>
      <c r="F243" s="42"/>
      <c r="G243" s="42"/>
      <c r="H243" s="42"/>
      <c r="I243" s="42"/>
    </row>
    <row r="244" spans="1:9" hidden="1">
      <c r="B244" s="42"/>
      <c r="C244" s="42"/>
      <c r="D244" s="42"/>
      <c r="E244" s="42"/>
      <c r="F244" s="42"/>
      <c r="G244" s="42"/>
      <c r="H244" s="42"/>
      <c r="I244" s="42"/>
    </row>
    <row r="245" spans="1:9" hidden="1">
      <c r="B245" s="42"/>
      <c r="C245" s="42"/>
      <c r="D245" s="42"/>
      <c r="E245" s="42"/>
      <c r="F245" s="42"/>
      <c r="G245" s="42"/>
      <c r="H245" s="42"/>
      <c r="I245" s="42"/>
    </row>
    <row r="246" spans="1:9" hidden="1">
      <c r="A246" s="42"/>
      <c r="B246" s="42"/>
      <c r="C246" s="42"/>
      <c r="D246" s="42"/>
      <c r="E246" s="42"/>
      <c r="F246" s="42"/>
      <c r="G246" s="42"/>
      <c r="H246" s="42"/>
      <c r="I246" s="42"/>
    </row>
    <row r="247" spans="1:9" hidden="1">
      <c r="A247" s="42"/>
      <c r="B247" s="42"/>
      <c r="C247" s="42"/>
      <c r="D247" s="42"/>
      <c r="E247" s="42"/>
      <c r="F247" s="42"/>
      <c r="G247" s="42"/>
      <c r="H247" s="42"/>
      <c r="I247" s="42"/>
    </row>
    <row r="248" spans="1:9" hidden="1">
      <c r="A248" s="42"/>
      <c r="B248" s="42"/>
      <c r="C248" s="42"/>
      <c r="D248" s="42"/>
      <c r="E248" s="42"/>
      <c r="F248" s="42"/>
      <c r="G248" s="42"/>
      <c r="H248" s="42"/>
      <c r="I248" s="42"/>
    </row>
    <row r="249" spans="1:9" hidden="1">
      <c r="A249" s="42"/>
      <c r="B249" s="42"/>
      <c r="C249" s="42"/>
      <c r="D249" s="42"/>
      <c r="E249" s="42"/>
      <c r="F249" s="42"/>
      <c r="G249" s="42"/>
      <c r="H249" s="42"/>
      <c r="I249" s="42"/>
    </row>
    <row r="250" spans="1:9" hidden="1">
      <c r="A250" s="42"/>
      <c r="B250" s="42"/>
      <c r="C250" s="42"/>
      <c r="D250" s="42"/>
      <c r="E250" s="42"/>
      <c r="F250" s="42"/>
      <c r="G250" s="42"/>
      <c r="H250" s="42"/>
      <c r="I250" s="42"/>
    </row>
    <row r="251" spans="1:9" hidden="1">
      <c r="A251" s="42"/>
      <c r="B251" s="42"/>
      <c r="C251" s="42"/>
      <c r="D251" s="42"/>
      <c r="E251" s="42"/>
      <c r="F251" s="42"/>
      <c r="G251" s="42"/>
      <c r="H251" s="42"/>
      <c r="I251" s="42"/>
    </row>
    <row r="252" spans="1:9" hidden="1">
      <c r="A252" s="42"/>
      <c r="B252" s="42"/>
      <c r="C252" s="42"/>
      <c r="D252" s="42"/>
      <c r="E252" s="42"/>
      <c r="F252" s="42"/>
      <c r="G252" s="42"/>
      <c r="H252" s="42"/>
      <c r="I252" s="42"/>
    </row>
    <row r="253" spans="1:9" hidden="1">
      <c r="A253" s="42"/>
      <c r="B253" s="42"/>
      <c r="C253" s="42"/>
      <c r="D253" s="42"/>
      <c r="E253" s="42"/>
      <c r="F253" s="42"/>
      <c r="G253" s="42"/>
      <c r="H253" s="42"/>
      <c r="I253" s="42"/>
    </row>
    <row r="254" spans="1:9" hidden="1">
      <c r="A254" s="42"/>
      <c r="B254" s="42"/>
      <c r="C254" s="42"/>
      <c r="D254" s="42"/>
      <c r="E254" s="42"/>
      <c r="F254" s="42"/>
      <c r="G254" s="42"/>
      <c r="H254" s="42"/>
      <c r="I254" s="42"/>
    </row>
    <row r="255" spans="1:9" hidden="1">
      <c r="A255" s="42"/>
      <c r="B255" s="42"/>
      <c r="C255" s="42"/>
      <c r="D255" s="42"/>
      <c r="E255" s="42"/>
      <c r="F255" s="42"/>
      <c r="G255" s="42"/>
      <c r="H255" s="42"/>
      <c r="I255" s="42"/>
    </row>
    <row r="256" spans="1:9" hidden="1">
      <c r="A256" s="42"/>
      <c r="B256" s="42"/>
      <c r="C256" s="42"/>
      <c r="D256" s="42"/>
      <c r="E256" s="42"/>
      <c r="F256" s="42"/>
      <c r="G256" s="42"/>
      <c r="H256" s="42"/>
      <c r="I256" s="42"/>
    </row>
    <row r="257" spans="1:9" hidden="1">
      <c r="A257" s="42"/>
      <c r="B257" s="42"/>
      <c r="C257" s="42"/>
      <c r="D257" s="42"/>
      <c r="E257" s="42"/>
      <c r="F257" s="42"/>
      <c r="G257" s="42"/>
      <c r="H257" s="42"/>
      <c r="I257" s="42"/>
    </row>
    <row r="258" spans="1:9" hidden="1">
      <c r="A258" s="42"/>
      <c r="B258" s="42"/>
      <c r="C258" s="42"/>
      <c r="D258" s="42"/>
      <c r="E258" s="42"/>
      <c r="F258" s="42"/>
      <c r="G258" s="42"/>
      <c r="H258" s="42"/>
      <c r="I258" s="42"/>
    </row>
    <row r="259" spans="1:9" hidden="1">
      <c r="A259" s="42"/>
      <c r="B259" s="42"/>
      <c r="C259" s="42"/>
      <c r="D259" s="42"/>
      <c r="E259" s="42"/>
      <c r="F259" s="42"/>
      <c r="G259" s="42"/>
      <c r="H259" s="42"/>
      <c r="I259" s="42"/>
    </row>
    <row r="260" spans="1:9" hidden="1">
      <c r="A260" s="42"/>
      <c r="B260" s="42"/>
      <c r="C260" s="42"/>
      <c r="D260" s="42"/>
      <c r="E260" s="42"/>
      <c r="F260" s="42"/>
      <c r="G260" s="42"/>
      <c r="H260" s="42"/>
      <c r="I260" s="42"/>
    </row>
    <row r="261" spans="1:9" hidden="1">
      <c r="A261" s="42"/>
      <c r="B261" s="42"/>
      <c r="C261" s="42"/>
      <c r="D261" s="42"/>
      <c r="E261" s="42"/>
      <c r="F261" s="42"/>
      <c r="G261" s="42"/>
      <c r="H261" s="42"/>
      <c r="I261" s="42"/>
    </row>
    <row r="262" spans="1:9" hidden="1">
      <c r="A262" s="42"/>
      <c r="B262" s="42"/>
      <c r="C262" s="42"/>
      <c r="D262" s="42"/>
      <c r="E262" s="42"/>
      <c r="F262" s="42"/>
      <c r="G262" s="42"/>
      <c r="H262" s="42"/>
      <c r="I262" s="42"/>
    </row>
    <row r="263" spans="1:9" hidden="1">
      <c r="A263" s="42"/>
      <c r="B263" s="42"/>
      <c r="C263" s="42"/>
      <c r="D263" s="42"/>
      <c r="E263" s="42"/>
      <c r="F263" s="42"/>
      <c r="G263" s="42"/>
      <c r="H263" s="42"/>
      <c r="I263" s="42"/>
    </row>
    <row r="264" spans="1:9" hidden="1">
      <c r="A264" s="42"/>
      <c r="B264" s="42"/>
      <c r="C264" s="42"/>
      <c r="D264" s="42"/>
      <c r="E264" s="42"/>
      <c r="F264" s="42"/>
      <c r="G264" s="42"/>
      <c r="H264" s="42"/>
      <c r="I264" s="42"/>
    </row>
    <row r="265" spans="1:9" hidden="1">
      <c r="A265" s="42"/>
      <c r="B265" s="42"/>
      <c r="C265" s="42"/>
      <c r="D265" s="42"/>
      <c r="E265" s="42"/>
      <c r="F265" s="42"/>
      <c r="G265" s="42"/>
      <c r="H265" s="42"/>
      <c r="I265" s="42"/>
    </row>
    <row r="266" spans="1:9" hidden="1">
      <c r="A266" s="42"/>
      <c r="B266" s="42"/>
      <c r="C266" s="42"/>
      <c r="D266" s="42"/>
      <c r="E266" s="42"/>
      <c r="F266" s="42"/>
      <c r="G266" s="42"/>
      <c r="H266" s="42"/>
      <c r="I266" s="42"/>
    </row>
    <row r="267" spans="1:9" hidden="1">
      <c r="A267" s="42"/>
      <c r="B267" s="42"/>
      <c r="C267" s="42"/>
      <c r="D267" s="42"/>
      <c r="E267" s="42"/>
      <c r="F267" s="42"/>
      <c r="G267" s="42"/>
      <c r="H267" s="42"/>
      <c r="I267" s="42"/>
    </row>
    <row r="268" spans="1:9" hidden="1">
      <c r="A268" s="42"/>
      <c r="B268" s="42"/>
      <c r="C268" s="42"/>
      <c r="D268" s="42"/>
      <c r="E268" s="42"/>
      <c r="F268" s="42"/>
      <c r="G268" s="42"/>
      <c r="H268" s="42"/>
      <c r="I268" s="42"/>
    </row>
    <row r="269" spans="1:9" hidden="1">
      <c r="A269" s="42"/>
      <c r="B269" s="42"/>
      <c r="C269" s="42"/>
      <c r="D269" s="42"/>
      <c r="E269" s="42"/>
      <c r="F269" s="42"/>
      <c r="G269" s="42"/>
      <c r="H269" s="42"/>
      <c r="I269" s="42"/>
    </row>
    <row r="270" spans="1:9" hidden="1">
      <c r="A270" s="42"/>
      <c r="B270" s="42"/>
      <c r="C270" s="42"/>
      <c r="D270" s="42"/>
      <c r="E270" s="42"/>
      <c r="F270" s="42"/>
      <c r="G270" s="42"/>
      <c r="H270" s="42"/>
      <c r="I270" s="42"/>
    </row>
    <row r="271" spans="1:9" hidden="1">
      <c r="A271" s="42"/>
      <c r="B271" s="42"/>
      <c r="C271" s="42"/>
      <c r="D271" s="42"/>
      <c r="E271" s="42"/>
      <c r="F271" s="42"/>
      <c r="G271" s="42"/>
      <c r="H271" s="42"/>
      <c r="I271" s="42"/>
    </row>
    <row r="272" spans="1:9" hidden="1">
      <c r="A272" s="42"/>
      <c r="B272" s="42"/>
      <c r="C272" s="42"/>
      <c r="D272" s="42"/>
      <c r="E272" s="42"/>
      <c r="F272" s="42"/>
      <c r="G272" s="42"/>
      <c r="H272" s="42"/>
      <c r="I272" s="42"/>
    </row>
    <row r="273" spans="1:9" hidden="1">
      <c r="A273" s="42"/>
      <c r="B273" s="42"/>
      <c r="C273" s="42"/>
      <c r="D273" s="42"/>
      <c r="E273" s="42"/>
      <c r="F273" s="42"/>
      <c r="G273" s="42"/>
      <c r="H273" s="42"/>
      <c r="I273" s="42"/>
    </row>
    <row r="274" spans="1:9" hidden="1">
      <c r="A274" s="42"/>
      <c r="B274" s="42"/>
      <c r="C274" s="42"/>
      <c r="D274" s="42"/>
      <c r="E274" s="42"/>
      <c r="F274" s="42"/>
      <c r="G274" s="42"/>
      <c r="H274" s="42"/>
      <c r="I274" s="42"/>
    </row>
    <row r="275" spans="1:9" hidden="1">
      <c r="A275" s="42"/>
      <c r="B275" s="42"/>
      <c r="C275" s="42"/>
      <c r="D275" s="42"/>
      <c r="E275" s="42"/>
      <c r="F275" s="42"/>
      <c r="G275" s="42"/>
      <c r="H275" s="42"/>
      <c r="I275" s="42"/>
    </row>
    <row r="276" spans="1:9" hidden="1">
      <c r="A276" s="42"/>
      <c r="B276" s="42"/>
      <c r="C276" s="42"/>
      <c r="D276" s="42"/>
      <c r="E276" s="42"/>
      <c r="F276" s="42"/>
      <c r="G276" s="42"/>
      <c r="H276" s="42"/>
      <c r="I276" s="42"/>
    </row>
    <row r="277" spans="1:9" hidden="1">
      <c r="A277" s="42"/>
      <c r="B277" s="42"/>
      <c r="C277" s="42"/>
      <c r="D277" s="42"/>
      <c r="E277" s="42"/>
      <c r="F277" s="42"/>
      <c r="G277" s="42"/>
      <c r="H277" s="42"/>
      <c r="I277" s="42"/>
    </row>
    <row r="278" spans="1:9" hidden="1">
      <c r="A278" s="42"/>
      <c r="B278" s="42"/>
      <c r="C278" s="42"/>
      <c r="D278" s="42"/>
      <c r="E278" s="42"/>
      <c r="F278" s="42"/>
      <c r="G278" s="42"/>
      <c r="H278" s="42"/>
      <c r="I278" s="42"/>
    </row>
    <row r="279" spans="1:9" hidden="1">
      <c r="A279" s="42"/>
      <c r="B279" s="42"/>
      <c r="C279" s="42"/>
      <c r="D279" s="42"/>
      <c r="E279" s="42"/>
      <c r="F279" s="42"/>
      <c r="G279" s="42"/>
      <c r="H279" s="42"/>
      <c r="I279" s="42"/>
    </row>
    <row r="280" spans="1:9" hidden="1">
      <c r="A280" s="42"/>
      <c r="B280" s="42"/>
      <c r="C280" s="42"/>
      <c r="D280" s="42"/>
      <c r="E280" s="42"/>
      <c r="F280" s="42"/>
      <c r="G280" s="42"/>
      <c r="H280" s="42"/>
      <c r="I280" s="42"/>
    </row>
    <row r="281" spans="1:9" hidden="1">
      <c r="A281" s="42"/>
      <c r="B281" s="42"/>
      <c r="C281" s="42"/>
      <c r="D281" s="42"/>
      <c r="E281" s="42"/>
      <c r="F281" s="42"/>
      <c r="G281" s="42"/>
      <c r="H281" s="42"/>
      <c r="I281" s="42"/>
    </row>
    <row r="282" spans="1:9" hidden="1">
      <c r="A282" s="42"/>
      <c r="B282" s="42"/>
      <c r="C282" s="42"/>
      <c r="D282" s="42"/>
      <c r="E282" s="42"/>
      <c r="F282" s="42"/>
      <c r="G282" s="42"/>
      <c r="H282" s="42"/>
      <c r="I282" s="42"/>
    </row>
    <row r="283" spans="1:9" hidden="1">
      <c r="A283" s="42"/>
      <c r="B283" s="42"/>
      <c r="C283" s="42"/>
      <c r="D283" s="42"/>
      <c r="E283" s="42"/>
      <c r="F283" s="42"/>
      <c r="G283" s="42"/>
      <c r="H283" s="42"/>
      <c r="I283" s="42"/>
    </row>
    <row r="284" spans="1:9" hidden="1">
      <c r="A284" s="42"/>
      <c r="B284" s="42"/>
      <c r="C284" s="42"/>
      <c r="D284" s="42"/>
      <c r="E284" s="42"/>
      <c r="F284" s="42"/>
      <c r="G284" s="42"/>
      <c r="H284" s="42"/>
      <c r="I284" s="42"/>
    </row>
    <row r="285" spans="1:9" hidden="1">
      <c r="A285" s="42"/>
      <c r="B285" s="42"/>
      <c r="C285" s="42"/>
      <c r="D285" s="42"/>
      <c r="E285" s="42"/>
      <c r="F285" s="42"/>
      <c r="G285" s="42"/>
      <c r="H285" s="42"/>
      <c r="I285" s="42"/>
    </row>
    <row r="286" spans="1:9" hidden="1">
      <c r="A286" s="42"/>
      <c r="B286" s="42"/>
      <c r="C286" s="42"/>
      <c r="D286" s="42"/>
      <c r="E286" s="42"/>
      <c r="F286" s="42"/>
      <c r="G286" s="42"/>
      <c r="H286" s="42"/>
      <c r="I286" s="42"/>
    </row>
    <row r="287" spans="1:9" hidden="1">
      <c r="A287" s="42"/>
      <c r="B287" s="42"/>
      <c r="C287" s="42"/>
      <c r="D287" s="42"/>
      <c r="E287" s="42"/>
      <c r="F287" s="42"/>
      <c r="G287" s="42"/>
      <c r="H287" s="42"/>
      <c r="I287" s="42"/>
    </row>
    <row r="288" spans="1:9" hidden="1">
      <c r="A288" s="42"/>
      <c r="B288" s="42"/>
      <c r="C288" s="42"/>
      <c r="D288" s="42"/>
      <c r="E288" s="42"/>
      <c r="F288" s="42"/>
      <c r="G288" s="42"/>
      <c r="H288" s="42"/>
      <c r="I288" s="42"/>
    </row>
    <row r="289" spans="1:9" hidden="1">
      <c r="A289" s="42"/>
      <c r="B289" s="42"/>
      <c r="C289" s="42"/>
      <c r="D289" s="42"/>
      <c r="E289" s="42"/>
      <c r="F289" s="42"/>
      <c r="G289" s="42"/>
      <c r="H289" s="42"/>
      <c r="I289" s="42"/>
    </row>
    <row r="290" spans="1:9" hidden="1">
      <c r="A290" s="42"/>
      <c r="B290" s="42"/>
      <c r="C290" s="42"/>
      <c r="D290" s="42"/>
      <c r="E290" s="42"/>
      <c r="F290" s="42"/>
      <c r="G290" s="42"/>
      <c r="H290" s="42"/>
      <c r="I290" s="42"/>
    </row>
    <row r="291" spans="1:9" hidden="1">
      <c r="A291" s="42"/>
      <c r="B291" s="42"/>
      <c r="C291" s="42"/>
      <c r="D291" s="42"/>
      <c r="E291" s="42"/>
      <c r="F291" s="42"/>
      <c r="G291" s="42"/>
      <c r="H291" s="42"/>
      <c r="I291" s="42"/>
    </row>
    <row r="292" spans="1:9" hidden="1">
      <c r="A292" s="42"/>
      <c r="B292" s="42"/>
      <c r="C292" s="42"/>
      <c r="D292" s="42"/>
      <c r="E292" s="42"/>
      <c r="F292" s="42"/>
      <c r="G292" s="42"/>
      <c r="H292" s="42"/>
      <c r="I292" s="42"/>
    </row>
    <row r="293" spans="1:9" hidden="1">
      <c r="A293" s="42"/>
      <c r="B293" s="42"/>
      <c r="C293" s="42"/>
      <c r="D293" s="42"/>
      <c r="E293" s="42"/>
      <c r="F293" s="42"/>
      <c r="G293" s="42"/>
      <c r="H293" s="42"/>
      <c r="I293" s="42"/>
    </row>
    <row r="294" spans="1:9" hidden="1">
      <c r="A294" s="42"/>
      <c r="B294" s="42"/>
      <c r="C294" s="42"/>
      <c r="D294" s="42"/>
      <c r="E294" s="42"/>
      <c r="F294" s="42"/>
      <c r="G294" s="42"/>
      <c r="H294" s="42"/>
      <c r="I294" s="42"/>
    </row>
    <row r="295" spans="1:9" hidden="1">
      <c r="A295" s="42"/>
      <c r="B295" s="42"/>
      <c r="C295" s="42"/>
      <c r="D295" s="42"/>
      <c r="E295" s="42"/>
      <c r="F295" s="42"/>
      <c r="G295" s="42"/>
      <c r="H295" s="42"/>
      <c r="I295" s="42"/>
    </row>
    <row r="296" spans="1:9" hidden="1">
      <c r="A296" s="42"/>
      <c r="B296" s="42"/>
      <c r="C296" s="42"/>
      <c r="D296" s="42"/>
      <c r="E296" s="42"/>
      <c r="F296" s="42"/>
      <c r="G296" s="42"/>
      <c r="H296" s="42"/>
      <c r="I296" s="42"/>
    </row>
    <row r="297" spans="1:9" hidden="1">
      <c r="A297" s="42"/>
      <c r="B297" s="42"/>
      <c r="C297" s="42"/>
      <c r="D297" s="42"/>
      <c r="E297" s="42"/>
      <c r="F297" s="42"/>
      <c r="G297" s="42"/>
      <c r="H297" s="42"/>
      <c r="I297" s="42"/>
    </row>
    <row r="298" spans="1:9" hidden="1">
      <c r="A298" s="42"/>
      <c r="B298" s="42"/>
      <c r="C298" s="42"/>
      <c r="D298" s="42"/>
      <c r="E298" s="42"/>
      <c r="F298" s="42"/>
      <c r="G298" s="42"/>
      <c r="H298" s="42"/>
      <c r="I298" s="42"/>
    </row>
    <row r="299" spans="1:9" hidden="1">
      <c r="A299" s="42"/>
      <c r="B299" s="42"/>
      <c r="C299" s="42"/>
      <c r="D299" s="42"/>
      <c r="E299" s="42"/>
      <c r="F299" s="42"/>
      <c r="G299" s="42"/>
      <c r="H299" s="42"/>
      <c r="I299" s="42"/>
    </row>
    <row r="300" spans="1:9" hidden="1">
      <c r="A300" s="42"/>
      <c r="B300" s="42"/>
      <c r="C300" s="42"/>
      <c r="D300" s="42"/>
      <c r="E300" s="42"/>
      <c r="F300" s="42"/>
      <c r="G300" s="42"/>
      <c r="H300" s="42"/>
      <c r="I300" s="42"/>
    </row>
    <row r="301" spans="1:9" hidden="1">
      <c r="A301" s="42"/>
      <c r="B301" s="42"/>
      <c r="C301" s="42"/>
      <c r="D301" s="42"/>
      <c r="E301" s="42"/>
      <c r="F301" s="42"/>
      <c r="G301" s="42"/>
      <c r="H301" s="42"/>
      <c r="I301" s="42"/>
    </row>
    <row r="302" spans="1:9" hidden="1">
      <c r="A302" s="42"/>
      <c r="B302" s="42"/>
      <c r="C302" s="42"/>
      <c r="D302" s="42"/>
      <c r="E302" s="42"/>
      <c r="F302" s="42"/>
      <c r="G302" s="42"/>
      <c r="H302" s="42"/>
      <c r="I302" s="42"/>
    </row>
    <row r="303" spans="1:9" hidden="1">
      <c r="A303" s="42"/>
      <c r="B303" s="42"/>
      <c r="C303" s="42"/>
      <c r="D303" s="42"/>
      <c r="E303" s="42"/>
      <c r="F303" s="42"/>
      <c r="G303" s="42"/>
      <c r="H303" s="42"/>
      <c r="I303" s="42"/>
    </row>
    <row r="304" spans="1:9" hidden="1">
      <c r="A304" s="42"/>
      <c r="B304" s="42"/>
      <c r="C304" s="42"/>
      <c r="D304" s="42"/>
      <c r="E304" s="42"/>
      <c r="F304" s="42"/>
      <c r="G304" s="42"/>
      <c r="H304" s="42"/>
      <c r="I304" s="42"/>
    </row>
    <row r="305" spans="1:9" hidden="1">
      <c r="A305" s="42"/>
      <c r="B305" s="42"/>
      <c r="C305" s="42"/>
      <c r="D305" s="42"/>
      <c r="E305" s="42"/>
      <c r="F305" s="42"/>
      <c r="G305" s="42"/>
      <c r="H305" s="42"/>
      <c r="I305" s="42"/>
    </row>
    <row r="306" spans="1:9" hidden="1">
      <c r="A306" s="42"/>
      <c r="B306" s="42"/>
      <c r="C306" s="42"/>
      <c r="D306" s="42"/>
      <c r="E306" s="42"/>
      <c r="F306" s="42"/>
      <c r="G306" s="42"/>
      <c r="H306" s="42"/>
      <c r="I306" s="42"/>
    </row>
    <row r="307" spans="1:9" hidden="1">
      <c r="A307" s="42"/>
      <c r="B307" s="42"/>
      <c r="C307" s="42"/>
      <c r="D307" s="42"/>
      <c r="E307" s="42"/>
      <c r="F307" s="42"/>
      <c r="G307" s="42"/>
      <c r="H307" s="42"/>
      <c r="I307" s="42"/>
    </row>
    <row r="308" spans="1:9" hidden="1">
      <c r="A308" s="42"/>
      <c r="B308" s="42"/>
      <c r="C308" s="42"/>
      <c r="D308" s="42"/>
      <c r="E308" s="42"/>
      <c r="F308" s="42"/>
      <c r="G308" s="42"/>
      <c r="H308" s="42"/>
      <c r="I308" s="42"/>
    </row>
    <row r="309" spans="1:9" hidden="1">
      <c r="A309" s="42"/>
      <c r="B309" s="42"/>
      <c r="C309" s="42"/>
      <c r="D309" s="42"/>
      <c r="E309" s="42"/>
      <c r="F309" s="42"/>
      <c r="G309" s="42"/>
      <c r="H309" s="42"/>
      <c r="I309" s="42"/>
    </row>
    <row r="310" spans="1:9" hidden="1">
      <c r="A310" s="42"/>
      <c r="B310" s="42"/>
      <c r="C310" s="42"/>
      <c r="D310" s="42"/>
      <c r="E310" s="42"/>
      <c r="F310" s="42"/>
      <c r="G310" s="42"/>
      <c r="H310" s="42"/>
      <c r="I310" s="42"/>
    </row>
    <row r="311" spans="1:9" hidden="1">
      <c r="A311" s="42"/>
      <c r="B311" s="42"/>
      <c r="C311" s="42"/>
      <c r="D311" s="42"/>
      <c r="E311" s="42"/>
      <c r="F311" s="42"/>
      <c r="G311" s="42"/>
      <c r="H311" s="42"/>
      <c r="I311" s="42"/>
    </row>
    <row r="312" spans="1:9" hidden="1">
      <c r="A312" s="42"/>
      <c r="B312" s="42"/>
      <c r="C312" s="42"/>
      <c r="D312" s="42"/>
      <c r="E312" s="42"/>
      <c r="F312" s="42"/>
      <c r="G312" s="42"/>
      <c r="H312" s="42"/>
      <c r="I312" s="42"/>
    </row>
    <row r="313" spans="1:9" hidden="1">
      <c r="A313" s="42"/>
      <c r="B313" s="42"/>
      <c r="C313" s="42"/>
      <c r="D313" s="42"/>
      <c r="E313" s="42"/>
      <c r="F313" s="42"/>
      <c r="G313" s="42"/>
      <c r="H313" s="42"/>
      <c r="I313" s="42"/>
    </row>
    <row r="314" spans="1:9" hidden="1">
      <c r="A314" s="42"/>
      <c r="B314" s="42"/>
      <c r="C314" s="42"/>
      <c r="D314" s="42"/>
      <c r="E314" s="42"/>
      <c r="F314" s="42"/>
      <c r="G314" s="42"/>
      <c r="H314" s="42"/>
      <c r="I314" s="42"/>
    </row>
    <row r="315" spans="1:9" hidden="1">
      <c r="A315" s="42"/>
      <c r="B315" s="42"/>
      <c r="C315" s="42"/>
      <c r="D315" s="42"/>
      <c r="E315" s="42"/>
      <c r="F315" s="42"/>
      <c r="G315" s="42"/>
      <c r="H315" s="42"/>
      <c r="I315" s="42"/>
    </row>
    <row r="316" spans="1:9" hidden="1">
      <c r="A316" s="42"/>
      <c r="B316" s="42"/>
      <c r="C316" s="42"/>
      <c r="D316" s="42"/>
      <c r="E316" s="42"/>
      <c r="F316" s="42"/>
      <c r="G316" s="42"/>
      <c r="H316" s="42"/>
      <c r="I316" s="42"/>
    </row>
    <row r="317" spans="1:9" hidden="1">
      <c r="A317" s="42"/>
      <c r="B317" s="42"/>
      <c r="C317" s="42"/>
      <c r="D317" s="42"/>
      <c r="E317" s="42"/>
      <c r="F317" s="42"/>
      <c r="G317" s="42"/>
      <c r="H317" s="42"/>
      <c r="I317" s="42"/>
    </row>
    <row r="318" spans="1:9" hidden="1">
      <c r="A318" s="42"/>
      <c r="B318" s="42"/>
      <c r="C318" s="42"/>
      <c r="D318" s="42"/>
      <c r="E318" s="42"/>
      <c r="F318" s="42"/>
      <c r="G318" s="42"/>
      <c r="H318" s="42"/>
      <c r="I318" s="42"/>
    </row>
    <row r="319" spans="1:9" hidden="1">
      <c r="A319" s="42"/>
      <c r="B319" s="42"/>
      <c r="C319" s="42"/>
      <c r="D319" s="42"/>
      <c r="E319" s="42"/>
      <c r="F319" s="42"/>
      <c r="G319" s="42"/>
      <c r="H319" s="42"/>
      <c r="I319" s="42"/>
    </row>
    <row r="320" spans="1:9" hidden="1">
      <c r="A320" s="42"/>
      <c r="B320" s="42"/>
      <c r="C320" s="42"/>
      <c r="D320" s="42"/>
      <c r="E320" s="42"/>
      <c r="F320" s="42"/>
      <c r="G320" s="42"/>
      <c r="H320" s="42"/>
      <c r="I320" s="42"/>
    </row>
    <row r="321" spans="1:9" hidden="1">
      <c r="A321" s="42"/>
      <c r="B321" s="42"/>
      <c r="C321" s="42"/>
      <c r="D321" s="42"/>
      <c r="E321" s="42"/>
      <c r="F321" s="42"/>
      <c r="G321" s="42"/>
      <c r="H321" s="42"/>
      <c r="I321" s="42"/>
    </row>
    <row r="322" spans="1:9" hidden="1">
      <c r="A322" s="42"/>
      <c r="B322" s="42"/>
      <c r="C322" s="42"/>
      <c r="D322" s="42"/>
      <c r="E322" s="42"/>
      <c r="F322" s="42"/>
      <c r="G322" s="42"/>
      <c r="H322" s="42"/>
      <c r="I322" s="42"/>
    </row>
    <row r="323" spans="1:9" hidden="1">
      <c r="A323" s="42"/>
      <c r="B323" s="42"/>
      <c r="C323" s="42"/>
      <c r="D323" s="42"/>
      <c r="E323" s="42"/>
      <c r="F323" s="42"/>
      <c r="G323" s="42"/>
      <c r="H323" s="42"/>
      <c r="I323" s="42"/>
    </row>
    <row r="324" spans="1:9" hidden="1">
      <c r="A324" s="42"/>
      <c r="B324" s="42"/>
      <c r="C324" s="42"/>
      <c r="D324" s="42"/>
      <c r="E324" s="42"/>
      <c r="F324" s="42"/>
      <c r="G324" s="42"/>
      <c r="H324" s="42"/>
      <c r="I324" s="42"/>
    </row>
    <row r="325" spans="1:9" hidden="1">
      <c r="A325" s="42"/>
      <c r="B325" s="42"/>
      <c r="C325" s="42"/>
      <c r="D325" s="42"/>
      <c r="E325" s="42"/>
      <c r="F325" s="42"/>
      <c r="G325" s="42"/>
      <c r="H325" s="42"/>
      <c r="I325" s="42"/>
    </row>
    <row r="326" spans="1:9" hidden="1">
      <c r="A326" s="42"/>
      <c r="B326" s="42"/>
      <c r="C326" s="42"/>
      <c r="D326" s="42"/>
      <c r="E326" s="42"/>
      <c r="F326" s="42"/>
      <c r="G326" s="42"/>
      <c r="H326" s="42"/>
      <c r="I326" s="42"/>
    </row>
    <row r="327" spans="1:9" hidden="1">
      <c r="A327" s="42"/>
      <c r="B327" s="42"/>
      <c r="C327" s="42"/>
      <c r="D327" s="42"/>
      <c r="E327" s="42"/>
      <c r="F327" s="42"/>
      <c r="G327" s="42"/>
      <c r="H327" s="42"/>
      <c r="I327" s="42"/>
    </row>
    <row r="328" spans="1:9" hidden="1">
      <c r="A328" s="42"/>
      <c r="B328" s="42"/>
      <c r="C328" s="42"/>
      <c r="D328" s="42"/>
      <c r="E328" s="42"/>
      <c r="F328" s="42"/>
      <c r="G328" s="42"/>
      <c r="H328" s="42"/>
      <c r="I328" s="42"/>
    </row>
    <row r="329" spans="1:9" hidden="1">
      <c r="A329" s="42"/>
      <c r="B329" s="42"/>
      <c r="C329" s="42"/>
      <c r="D329" s="42"/>
      <c r="E329" s="42"/>
      <c r="F329" s="42"/>
      <c r="G329" s="42"/>
      <c r="H329" s="42"/>
      <c r="I329" s="42"/>
    </row>
    <row r="330" spans="1:9" hidden="1">
      <c r="A330" s="42"/>
      <c r="B330" s="42"/>
      <c r="C330" s="42"/>
      <c r="D330" s="42"/>
      <c r="E330" s="42"/>
      <c r="F330" s="42"/>
      <c r="G330" s="42"/>
      <c r="H330" s="42"/>
      <c r="I330" s="42"/>
    </row>
    <row r="331" spans="1:9" hidden="1">
      <c r="A331" s="42"/>
      <c r="B331" s="42"/>
      <c r="C331" s="42"/>
      <c r="D331" s="42"/>
      <c r="E331" s="42"/>
      <c r="F331" s="42"/>
      <c r="G331" s="42"/>
      <c r="H331" s="42"/>
      <c r="I331" s="42"/>
    </row>
    <row r="332" spans="1:9" hidden="1">
      <c r="A332" s="42"/>
      <c r="B332" s="42"/>
      <c r="C332" s="42"/>
      <c r="D332" s="42"/>
      <c r="E332" s="42"/>
      <c r="F332" s="42"/>
      <c r="G332" s="42"/>
      <c r="H332" s="42"/>
      <c r="I332" s="42"/>
    </row>
    <row r="333" spans="1:9" hidden="1">
      <c r="A333" s="42"/>
      <c r="B333" s="42"/>
      <c r="C333" s="42"/>
      <c r="D333" s="42"/>
      <c r="E333" s="42"/>
      <c r="F333" s="42"/>
      <c r="G333" s="42"/>
      <c r="H333" s="42"/>
      <c r="I333" s="42"/>
    </row>
    <row r="334" spans="1:9" hidden="1">
      <c r="A334" s="42"/>
      <c r="B334" s="42"/>
      <c r="C334" s="42"/>
      <c r="D334" s="42"/>
      <c r="E334" s="42"/>
      <c r="F334" s="42"/>
      <c r="G334" s="42"/>
      <c r="H334" s="42"/>
      <c r="I334" s="42"/>
    </row>
    <row r="335" spans="1:9" hidden="1">
      <c r="A335" s="42"/>
      <c r="B335" s="42"/>
      <c r="C335" s="42"/>
      <c r="D335" s="42"/>
      <c r="E335" s="42"/>
      <c r="F335" s="42"/>
      <c r="G335" s="42"/>
      <c r="H335" s="42"/>
      <c r="I335" s="42"/>
    </row>
    <row r="336" spans="1:9" hidden="1">
      <c r="A336" s="42"/>
      <c r="B336" s="42"/>
      <c r="C336" s="42"/>
      <c r="D336" s="42"/>
      <c r="E336" s="42"/>
      <c r="F336" s="42"/>
      <c r="G336" s="42"/>
      <c r="H336" s="42"/>
      <c r="I336" s="42"/>
    </row>
    <row r="337" spans="1:9" hidden="1">
      <c r="A337" s="42"/>
      <c r="B337" s="42"/>
      <c r="C337" s="42"/>
      <c r="D337" s="42"/>
      <c r="E337" s="42"/>
      <c r="F337" s="42"/>
      <c r="G337" s="42"/>
      <c r="H337" s="42"/>
      <c r="I337" s="42"/>
    </row>
    <row r="338" spans="1:9" hidden="1">
      <c r="A338" s="42"/>
      <c r="B338" s="42"/>
      <c r="C338" s="42"/>
      <c r="D338" s="42"/>
      <c r="E338" s="42"/>
      <c r="F338" s="42"/>
      <c r="G338" s="42"/>
      <c r="H338" s="42"/>
      <c r="I338" s="42"/>
    </row>
    <row r="339" spans="1:9" hidden="1">
      <c r="A339" s="42"/>
      <c r="B339" s="42"/>
      <c r="C339" s="42"/>
      <c r="D339" s="42"/>
      <c r="E339" s="42"/>
      <c r="F339" s="42"/>
      <c r="G339" s="42"/>
      <c r="H339" s="42"/>
      <c r="I339" s="42"/>
    </row>
    <row r="340" spans="1:9" hidden="1">
      <c r="A340" s="42"/>
      <c r="B340" s="42"/>
      <c r="C340" s="42"/>
      <c r="D340" s="42"/>
      <c r="E340" s="42"/>
      <c r="F340" s="42"/>
      <c r="G340" s="42"/>
      <c r="H340" s="42"/>
      <c r="I340" s="42"/>
    </row>
    <row r="341" spans="1:9" hidden="1">
      <c r="A341" s="42"/>
      <c r="B341" s="42"/>
      <c r="C341" s="42"/>
      <c r="D341" s="42"/>
      <c r="E341" s="42"/>
      <c r="F341" s="42"/>
      <c r="G341" s="42"/>
      <c r="H341" s="42"/>
      <c r="I341" s="42"/>
    </row>
    <row r="342" spans="1:9" hidden="1">
      <c r="A342" s="42"/>
      <c r="B342" s="42"/>
      <c r="C342" s="42"/>
      <c r="D342" s="42"/>
      <c r="E342" s="42"/>
      <c r="F342" s="42"/>
      <c r="G342" s="42"/>
      <c r="H342" s="42"/>
      <c r="I342" s="42"/>
    </row>
    <row r="343" spans="1:9" hidden="1">
      <c r="A343" s="42"/>
      <c r="B343" s="42"/>
      <c r="C343" s="42"/>
      <c r="D343" s="42"/>
      <c r="E343" s="42"/>
      <c r="F343" s="42"/>
      <c r="G343" s="42"/>
      <c r="H343" s="42"/>
      <c r="I343" s="42"/>
    </row>
    <row r="344" spans="1:9" hidden="1">
      <c r="A344" s="42"/>
      <c r="B344" s="42"/>
      <c r="C344" s="42"/>
      <c r="D344" s="42"/>
      <c r="E344" s="42"/>
      <c r="F344" s="42"/>
      <c r="G344" s="42"/>
      <c r="H344" s="42"/>
      <c r="I344" s="42"/>
    </row>
    <row r="345" spans="1:9" hidden="1">
      <c r="A345" s="42"/>
      <c r="B345" s="42"/>
      <c r="C345" s="42"/>
      <c r="D345" s="42"/>
      <c r="E345" s="42"/>
      <c r="F345" s="42"/>
      <c r="G345" s="42"/>
      <c r="H345" s="42"/>
      <c r="I345" s="42"/>
    </row>
    <row r="346" spans="1:9" hidden="1">
      <c r="A346" s="42"/>
      <c r="B346" s="42"/>
      <c r="C346" s="42"/>
      <c r="D346" s="42"/>
      <c r="E346" s="42"/>
      <c r="F346" s="42"/>
      <c r="G346" s="42"/>
      <c r="H346" s="42"/>
      <c r="I346" s="42"/>
    </row>
    <row r="347" spans="1:9" hidden="1">
      <c r="A347" s="42"/>
      <c r="B347" s="42"/>
      <c r="C347" s="42"/>
      <c r="D347" s="42"/>
      <c r="E347" s="42"/>
      <c r="F347" s="42"/>
      <c r="G347" s="42"/>
      <c r="H347" s="42"/>
      <c r="I347" s="42"/>
    </row>
    <row r="348" spans="1:9" hidden="1">
      <c r="A348" s="42"/>
      <c r="B348" s="42"/>
      <c r="C348" s="42"/>
      <c r="D348" s="42"/>
      <c r="E348" s="42"/>
      <c r="F348" s="42"/>
      <c r="G348" s="42"/>
      <c r="H348" s="42"/>
      <c r="I348" s="42"/>
    </row>
    <row r="349" spans="1:9" hidden="1">
      <c r="A349" s="42"/>
      <c r="B349" s="42"/>
      <c r="C349" s="42"/>
      <c r="D349" s="42"/>
      <c r="E349" s="42"/>
      <c r="F349" s="42"/>
      <c r="G349" s="42"/>
      <c r="H349" s="42"/>
      <c r="I349" s="42"/>
    </row>
    <row r="350" spans="1:9" hidden="1">
      <c r="A350" s="42"/>
      <c r="B350" s="42"/>
      <c r="C350" s="42"/>
      <c r="D350" s="42"/>
      <c r="E350" s="42"/>
      <c r="F350" s="42"/>
      <c r="G350" s="42"/>
      <c r="H350" s="42"/>
      <c r="I350" s="42"/>
    </row>
    <row r="351" spans="1:9" hidden="1">
      <c r="A351" s="42"/>
      <c r="B351" s="42"/>
      <c r="C351" s="42"/>
      <c r="D351" s="42"/>
      <c r="E351" s="42"/>
      <c r="F351" s="42"/>
      <c r="G351" s="42"/>
      <c r="H351" s="42"/>
      <c r="I351" s="42"/>
    </row>
    <row r="352" spans="1:9" hidden="1">
      <c r="A352" s="42"/>
      <c r="B352" s="42"/>
      <c r="C352" s="42"/>
      <c r="D352" s="42"/>
      <c r="E352" s="42"/>
      <c r="F352" s="42"/>
      <c r="G352" s="42"/>
      <c r="H352" s="42"/>
      <c r="I352" s="42"/>
    </row>
    <row r="353" spans="1:9" hidden="1">
      <c r="A353" s="42"/>
      <c r="B353" s="42"/>
      <c r="C353" s="42"/>
      <c r="D353" s="42"/>
      <c r="E353" s="42"/>
      <c r="F353" s="42"/>
      <c r="G353" s="42"/>
      <c r="H353" s="42"/>
      <c r="I353" s="42"/>
    </row>
    <row r="354" spans="1:9" hidden="1">
      <c r="A354" s="42"/>
      <c r="B354" s="42"/>
      <c r="C354" s="42"/>
      <c r="D354" s="42"/>
      <c r="E354" s="42"/>
      <c r="F354" s="42"/>
      <c r="G354" s="42"/>
      <c r="H354" s="42"/>
      <c r="I354" s="42"/>
    </row>
    <row r="355" spans="1:9" hidden="1">
      <c r="A355" s="42"/>
      <c r="B355" s="42"/>
      <c r="C355" s="42"/>
      <c r="D355" s="42"/>
      <c r="E355" s="42"/>
      <c r="F355" s="42"/>
      <c r="G355" s="42"/>
      <c r="H355" s="42"/>
      <c r="I355" s="42"/>
    </row>
    <row r="356" spans="1:9" hidden="1">
      <c r="A356" s="42"/>
      <c r="B356" s="42"/>
      <c r="C356" s="42"/>
      <c r="D356" s="42"/>
      <c r="E356" s="42"/>
      <c r="F356" s="42"/>
      <c r="G356" s="42"/>
      <c r="H356" s="42"/>
      <c r="I356" s="42"/>
    </row>
    <row r="357" spans="1:9" hidden="1">
      <c r="A357" s="42"/>
      <c r="B357" s="42"/>
      <c r="C357" s="42"/>
      <c r="D357" s="42"/>
      <c r="E357" s="42"/>
      <c r="F357" s="42"/>
      <c r="G357" s="42"/>
      <c r="H357" s="42"/>
      <c r="I357" s="42"/>
    </row>
    <row r="358" spans="1:9" hidden="1">
      <c r="A358" s="42"/>
      <c r="B358" s="42"/>
      <c r="C358" s="42"/>
      <c r="D358" s="42"/>
      <c r="E358" s="42"/>
      <c r="F358" s="42"/>
      <c r="G358" s="42"/>
      <c r="H358" s="42"/>
      <c r="I358" s="42"/>
    </row>
    <row r="359" spans="1:9" hidden="1">
      <c r="B359" s="42"/>
      <c r="C359" s="42"/>
      <c r="D359" s="42"/>
      <c r="E359" s="42"/>
      <c r="F359" s="42"/>
      <c r="G359" s="42"/>
      <c r="H359" s="42"/>
      <c r="I359" s="42"/>
    </row>
    <row r="360" spans="1:9" hidden="1">
      <c r="B360" s="42"/>
      <c r="C360" s="42"/>
      <c r="D360" s="42"/>
      <c r="E360" s="42"/>
      <c r="F360" s="42"/>
      <c r="G360" s="42"/>
      <c r="H360" s="42"/>
      <c r="I360" s="42"/>
    </row>
    <row r="361" spans="1:9" hidden="1">
      <c r="B361" s="42"/>
      <c r="C361" s="42"/>
      <c r="D361" s="42"/>
      <c r="E361" s="42"/>
      <c r="F361" s="42"/>
      <c r="G361" s="42"/>
      <c r="H361" s="42"/>
      <c r="I361" s="42"/>
    </row>
    <row r="362" spans="1:9" hidden="1">
      <c r="B362" s="42"/>
      <c r="C362" s="42"/>
      <c r="D362" s="42"/>
      <c r="E362" s="42"/>
      <c r="F362" s="42"/>
      <c r="G362" s="42"/>
      <c r="H362" s="42"/>
      <c r="I362" s="42"/>
    </row>
    <row r="363" spans="1:9" hidden="1">
      <c r="B363" s="42"/>
      <c r="C363" s="42"/>
      <c r="D363" s="42"/>
      <c r="E363" s="42"/>
      <c r="F363" s="42"/>
      <c r="G363" s="42"/>
      <c r="H363" s="42"/>
      <c r="I363" s="42"/>
    </row>
    <row r="364" spans="1:9" hidden="1">
      <c r="B364" s="42"/>
      <c r="C364" s="42"/>
      <c r="D364" s="42"/>
      <c r="E364" s="42"/>
      <c r="F364" s="42"/>
      <c r="G364" s="42"/>
      <c r="H364" s="42"/>
      <c r="I364" s="42"/>
    </row>
    <row r="365" spans="1:9" hidden="1">
      <c r="B365" s="42"/>
      <c r="C365" s="42"/>
      <c r="D365" s="42"/>
      <c r="E365" s="42"/>
      <c r="F365" s="42"/>
      <c r="G365" s="42"/>
      <c r="H365" s="42"/>
      <c r="I365" s="42"/>
    </row>
    <row r="366" spans="1:9" hidden="1">
      <c r="B366" s="42"/>
      <c r="C366" s="42"/>
      <c r="D366" s="42"/>
      <c r="E366" s="42"/>
      <c r="F366" s="42"/>
      <c r="G366" s="42"/>
      <c r="H366" s="42"/>
      <c r="I366" s="42"/>
    </row>
    <row r="367" spans="1:9" hidden="1">
      <c r="B367" s="42"/>
      <c r="C367" s="42"/>
      <c r="D367" s="42"/>
      <c r="E367" s="42"/>
      <c r="F367" s="42"/>
      <c r="G367" s="42"/>
      <c r="H367" s="42"/>
      <c r="I367" s="42"/>
    </row>
    <row r="368" spans="1:9" hidden="1">
      <c r="B368" s="42"/>
      <c r="C368" s="42"/>
      <c r="D368" s="42"/>
      <c r="E368" s="42"/>
      <c r="F368" s="42"/>
      <c r="G368" s="42"/>
      <c r="H368" s="42"/>
      <c r="I368" s="42"/>
    </row>
    <row r="369" spans="2:9" hidden="1">
      <c r="B369" s="42"/>
      <c r="C369" s="42"/>
      <c r="D369" s="42"/>
      <c r="E369" s="42"/>
      <c r="F369" s="42"/>
      <c r="G369" s="42"/>
      <c r="H369" s="42"/>
      <c r="I369" s="42"/>
    </row>
    <row r="370" spans="2:9" hidden="1">
      <c r="B370" s="42"/>
      <c r="C370" s="42"/>
      <c r="D370" s="42"/>
      <c r="E370" s="42"/>
      <c r="F370" s="42"/>
      <c r="G370" s="42"/>
      <c r="H370" s="42"/>
      <c r="I370" s="42"/>
    </row>
    <row r="371" spans="2:9" hidden="1">
      <c r="B371" s="42"/>
      <c r="C371" s="42"/>
      <c r="D371" s="42"/>
      <c r="E371" s="42"/>
      <c r="F371" s="42"/>
      <c r="G371" s="42"/>
      <c r="H371" s="42"/>
      <c r="I371" s="42"/>
    </row>
    <row r="372" spans="2:9" hidden="1">
      <c r="B372" s="42"/>
      <c r="C372" s="42"/>
      <c r="D372" s="42"/>
      <c r="E372" s="42"/>
      <c r="F372" s="42"/>
      <c r="G372" s="42"/>
      <c r="H372" s="42"/>
      <c r="I372" s="42"/>
    </row>
    <row r="373" spans="2:9" hidden="1">
      <c r="B373" s="42"/>
      <c r="C373" s="42"/>
      <c r="D373" s="42"/>
      <c r="E373" s="42"/>
      <c r="F373" s="42"/>
      <c r="G373" s="42"/>
      <c r="H373" s="42"/>
      <c r="I373" s="42"/>
    </row>
    <row r="374" spans="2:9" hidden="1">
      <c r="B374" s="42"/>
      <c r="C374" s="42"/>
      <c r="D374" s="42"/>
      <c r="E374" s="42"/>
      <c r="F374" s="42"/>
      <c r="G374" s="42"/>
      <c r="H374" s="42"/>
      <c r="I374" s="42"/>
    </row>
    <row r="375" spans="2:9" hidden="1">
      <c r="B375" s="42"/>
      <c r="C375" s="42"/>
      <c r="D375" s="42"/>
      <c r="E375" s="42"/>
      <c r="F375" s="42"/>
      <c r="G375" s="42"/>
      <c r="H375" s="42"/>
      <c r="I375" s="42"/>
    </row>
    <row r="376" spans="2:9" hidden="1">
      <c r="B376" s="42"/>
      <c r="C376" s="42"/>
      <c r="D376" s="42"/>
      <c r="E376" s="42"/>
      <c r="F376" s="42"/>
      <c r="G376" s="42"/>
      <c r="H376" s="42"/>
      <c r="I376" s="42"/>
    </row>
    <row r="377" spans="2:9" hidden="1">
      <c r="B377" s="42"/>
      <c r="C377" s="42"/>
      <c r="D377" s="42"/>
      <c r="E377" s="42"/>
      <c r="F377" s="42"/>
      <c r="G377" s="42"/>
      <c r="H377" s="42"/>
      <c r="I377" s="42"/>
    </row>
    <row r="378" spans="2:9" hidden="1">
      <c r="B378" s="42"/>
      <c r="C378" s="42"/>
      <c r="D378" s="42"/>
      <c r="E378" s="42"/>
      <c r="F378" s="42"/>
      <c r="G378" s="42"/>
      <c r="H378" s="42"/>
      <c r="I378" s="42"/>
    </row>
    <row r="379" spans="2:9" hidden="1">
      <c r="B379" s="42"/>
      <c r="C379" s="42"/>
      <c r="D379" s="42"/>
      <c r="E379" s="42"/>
      <c r="F379" s="42"/>
      <c r="G379" s="42"/>
      <c r="H379" s="42"/>
      <c r="I379" s="42"/>
    </row>
    <row r="380" spans="2:9" hidden="1">
      <c r="B380" s="42"/>
      <c r="C380" s="42"/>
      <c r="D380" s="42"/>
      <c r="E380" s="42"/>
      <c r="F380" s="42"/>
      <c r="G380" s="42"/>
      <c r="H380" s="42"/>
      <c r="I380" s="42"/>
    </row>
    <row r="381" spans="2:9" hidden="1">
      <c r="B381" s="42"/>
      <c r="C381" s="42"/>
      <c r="D381" s="42"/>
      <c r="E381" s="42"/>
      <c r="F381" s="42"/>
      <c r="G381" s="42"/>
      <c r="H381" s="42"/>
      <c r="I381" s="42"/>
    </row>
    <row r="382" spans="2:9" hidden="1">
      <c r="B382" s="42"/>
      <c r="C382" s="42"/>
      <c r="D382" s="42"/>
      <c r="E382" s="42"/>
      <c r="F382" s="42"/>
      <c r="G382" s="42"/>
      <c r="H382" s="42"/>
      <c r="I382" s="42"/>
    </row>
    <row r="383" spans="2:9" hidden="1">
      <c r="B383" s="42"/>
      <c r="C383" s="42"/>
      <c r="D383" s="42"/>
      <c r="E383" s="42"/>
      <c r="F383" s="42"/>
      <c r="G383" s="42"/>
      <c r="H383" s="42"/>
      <c r="I383" s="42"/>
    </row>
    <row r="384" spans="2:9" hidden="1">
      <c r="B384" s="42"/>
      <c r="C384" s="42"/>
      <c r="D384" s="42"/>
      <c r="E384" s="42"/>
      <c r="F384" s="42"/>
      <c r="G384" s="42"/>
      <c r="H384" s="42"/>
      <c r="I384" s="42"/>
    </row>
  </sheetData>
  <sheetProtection algorithmName="SHA-512" hashValue="KcNbdM40wV90nMkNcc5I/GEAtUgbmUmzCjKkB2gNcvcPrN6k8dR6egPzlkrRoAkOEf8jmgM5fCCZNBtfhNrpKQ==" saltValue="ifIk0UK9O8LxJVPiGA8S0Q==" spinCount="100000" sheet="1" formatCells="0" formatColumns="0" formatRows="0" selectLockedCells="1"/>
  <mergeCells count="64">
    <mergeCell ref="H1:I1"/>
    <mergeCell ref="H2:I2"/>
    <mergeCell ref="AG6:AJ6"/>
    <mergeCell ref="I83:I84"/>
    <mergeCell ref="I79:I80"/>
    <mergeCell ref="I77:I78"/>
    <mergeCell ref="I75:I76"/>
    <mergeCell ref="I66:I68"/>
    <mergeCell ref="AK6:AN6"/>
    <mergeCell ref="AK20:AL20"/>
    <mergeCell ref="AM20:AN20"/>
    <mergeCell ref="G71:G72"/>
    <mergeCell ref="H135:I138"/>
    <mergeCell ref="I69:I70"/>
    <mergeCell ref="I55:I56"/>
    <mergeCell ref="I57:I58"/>
    <mergeCell ref="I64:I65"/>
    <mergeCell ref="I59:I61"/>
    <mergeCell ref="C161:C163"/>
    <mergeCell ref="F158:H158"/>
    <mergeCell ref="G172:H172"/>
    <mergeCell ref="G162:H162"/>
    <mergeCell ref="G163:H163"/>
    <mergeCell ref="G159:H159"/>
    <mergeCell ref="G160:H160"/>
    <mergeCell ref="G161:H161"/>
    <mergeCell ref="C158:E158"/>
    <mergeCell ref="G169:H169"/>
    <mergeCell ref="F170:H171"/>
    <mergeCell ref="C164:C166"/>
    <mergeCell ref="G168:H168"/>
    <mergeCell ref="G165:H165"/>
    <mergeCell ref="G166:H166"/>
    <mergeCell ref="G164:H164"/>
    <mergeCell ref="C179:E179"/>
    <mergeCell ref="D203:D204"/>
    <mergeCell ref="E203:E204"/>
    <mergeCell ref="C182:C183"/>
    <mergeCell ref="D182:F182"/>
    <mergeCell ref="G178:H178"/>
    <mergeCell ref="C173:C175"/>
    <mergeCell ref="G173:H173"/>
    <mergeCell ref="C167:C169"/>
    <mergeCell ref="C170:C172"/>
    <mergeCell ref="G167:H167"/>
    <mergeCell ref="G177:H177"/>
    <mergeCell ref="C176:C178"/>
    <mergeCell ref="G176:H176"/>
    <mergeCell ref="G175:H175"/>
    <mergeCell ref="G174:H174"/>
    <mergeCell ref="B119:D120"/>
    <mergeCell ref="B121:D122"/>
    <mergeCell ref="B3:I3"/>
    <mergeCell ref="C4:F4"/>
    <mergeCell ref="G4:I4"/>
    <mergeCell ref="I62:I63"/>
    <mergeCell ref="F74:F75"/>
    <mergeCell ref="G74:G75"/>
    <mergeCell ref="F64:H64"/>
    <mergeCell ref="F71:F72"/>
    <mergeCell ref="C57:D57"/>
    <mergeCell ref="I81:I82"/>
    <mergeCell ref="I73:I74"/>
    <mergeCell ref="I71:I72"/>
  </mergeCells>
  <phoneticPr fontId="0" type="noConversion"/>
  <conditionalFormatting sqref="B89:B104">
    <cfRule type="expression" dxfId="37" priority="6">
      <formula>$C$88&lt;&gt;"Yes"</formula>
    </cfRule>
  </conditionalFormatting>
  <conditionalFormatting sqref="B109:B113">
    <cfRule type="expression" dxfId="36" priority="10">
      <formula>$C$88&lt;&gt;"Yes"</formula>
    </cfRule>
  </conditionalFormatting>
  <conditionalFormatting sqref="C17">
    <cfRule type="cellIs" dxfId="35" priority="34" stopIfTrue="1" operator="greaterThan">
      <formula>4</formula>
    </cfRule>
    <cfRule type="cellIs" dxfId="34" priority="33" stopIfTrue="1" operator="lessThan">
      <formula>1</formula>
    </cfRule>
  </conditionalFormatting>
  <conditionalFormatting sqref="C18">
    <cfRule type="cellIs" dxfId="33" priority="27" stopIfTrue="1" operator="greaterThan">
      <formula>12</formula>
    </cfRule>
  </conditionalFormatting>
  <conditionalFormatting sqref="C20">
    <cfRule type="cellIs" dxfId="32" priority="63" operator="greaterThanOrEqual">
      <formula>$D$11</formula>
    </cfRule>
    <cfRule type="cellIs" dxfId="31" priority="62" operator="lessThan">
      <formula>1</formula>
    </cfRule>
  </conditionalFormatting>
  <conditionalFormatting sqref="C27">
    <cfRule type="cellIs" dxfId="30" priority="31" operator="lessThan">
      <formula>$C$17</formula>
    </cfRule>
    <cfRule type="cellIs" dxfId="29" priority="32" operator="greaterThan">
      <formula>$C$17</formula>
    </cfRule>
  </conditionalFormatting>
  <conditionalFormatting sqref="C38">
    <cfRule type="cellIs" dxfId="28" priority="29" operator="lessThan">
      <formula>2</formula>
    </cfRule>
  </conditionalFormatting>
  <conditionalFormatting sqref="C40">
    <cfRule type="cellIs" dxfId="27" priority="30" stopIfTrue="1" operator="lessThan">
      <formula>4</formula>
    </cfRule>
    <cfRule type="cellIs" dxfId="26" priority="28" operator="greaterThan">
      <formula>8</formula>
    </cfRule>
  </conditionalFormatting>
  <conditionalFormatting sqref="C43">
    <cfRule type="cellIs" dxfId="25" priority="43" stopIfTrue="1" operator="lessThan">
      <formula>0.5</formula>
    </cfRule>
    <cfRule type="cellIs" dxfId="24" priority="44" stopIfTrue="1" operator="greaterThan">
      <formula>2</formula>
    </cfRule>
  </conditionalFormatting>
  <conditionalFormatting sqref="C47">
    <cfRule type="cellIs" dxfId="23" priority="49" stopIfTrue="1" operator="lessThan">
      <formula>0.25</formula>
    </cfRule>
    <cfRule type="cellIs" dxfId="22" priority="50" stopIfTrue="1" operator="greaterThan">
      <formula>1</formula>
    </cfRule>
  </conditionalFormatting>
  <conditionalFormatting sqref="C49">
    <cfRule type="cellIs" dxfId="21" priority="19" stopIfTrue="1" operator="lessThan">
      <formula>4</formula>
    </cfRule>
    <cfRule type="cellIs" dxfId="20" priority="20" stopIfTrue="1" operator="greaterThan">
      <formula>23</formula>
    </cfRule>
  </conditionalFormatting>
  <conditionalFormatting sqref="C60">
    <cfRule type="cellIs" dxfId="19" priority="21" operator="greaterThan">
      <formula>$C$51</formula>
    </cfRule>
    <cfRule type="cellIs" dxfId="18" priority="22" operator="lessThan">
      <formula>$C$51</formula>
    </cfRule>
  </conditionalFormatting>
  <conditionalFormatting sqref="C62">
    <cfRule type="cellIs" dxfId="17" priority="17" stopIfTrue="1" operator="lessThan">
      <formula>4</formula>
    </cfRule>
    <cfRule type="cellIs" dxfId="16" priority="18" stopIfTrue="1" operator="greaterThan">
      <formula>23</formula>
    </cfRule>
  </conditionalFormatting>
  <conditionalFormatting sqref="C85">
    <cfRule type="expression" dxfId="15" priority="58" stopIfTrue="1">
      <formula>AND($C$85&lt;$G$85,$C$88&lt;&gt;"Yes")</formula>
    </cfRule>
    <cfRule type="cellIs" dxfId="14" priority="59" stopIfTrue="1" operator="greaterThan">
      <formula>3.5</formula>
    </cfRule>
  </conditionalFormatting>
  <conditionalFormatting sqref="C109:C112">
    <cfRule type="expression" dxfId="13" priority="14">
      <formula>$C$88="Yes"</formula>
    </cfRule>
  </conditionalFormatting>
  <conditionalFormatting sqref="C112">
    <cfRule type="cellIs" dxfId="12" priority="11" operator="lessThan">
      <formula>$G$112</formula>
    </cfRule>
  </conditionalFormatting>
  <conditionalFormatting sqref="C90:D103 C106:D110 C112:D112 E110 C111:E111 F112:G112 I112">
    <cfRule type="expression" dxfId="11" priority="13">
      <formula>$C$88&lt;&gt;"Yes"</formula>
    </cfRule>
  </conditionalFormatting>
  <conditionalFormatting sqref="D11">
    <cfRule type="cellIs" dxfId="10" priority="38" stopIfTrue="1" operator="lessThan">
      <formula>2</formula>
    </cfRule>
    <cfRule type="cellIs" dxfId="9" priority="39" stopIfTrue="1" operator="greaterThan">
      <formula>5</formula>
    </cfRule>
  </conditionalFormatting>
  <conditionalFormatting sqref="D24">
    <cfRule type="cellIs" dxfId="8" priority="60" stopIfTrue="1" operator="lessThan">
      <formula>$C$8+2</formula>
    </cfRule>
    <cfRule type="cellIs" dxfId="7" priority="61" stopIfTrue="1" operator="greaterThanOrEqual">
      <formula>$C$9</formula>
    </cfRule>
  </conditionalFormatting>
  <conditionalFormatting sqref="D30">
    <cfRule type="cellIs" dxfId="6" priority="1" operator="lessThan">
      <formula>0</formula>
    </cfRule>
  </conditionalFormatting>
  <conditionalFormatting sqref="D36">
    <cfRule type="cellIs" dxfId="5" priority="45" stopIfTrue="1" operator="lessThan">
      <formula>4</formula>
    </cfRule>
    <cfRule type="cellIs" dxfId="4" priority="46" stopIfTrue="1" operator="greaterThan">
      <formula>8</formula>
    </cfRule>
  </conditionalFormatting>
  <conditionalFormatting sqref="D46">
    <cfRule type="cellIs" dxfId="3" priority="2" operator="lessThan">
      <formula>0.5</formula>
    </cfRule>
  </conditionalFormatting>
  <conditionalFormatting sqref="D90:D103 D106:D108">
    <cfRule type="expression" dxfId="2" priority="12">
      <formula>$C$88="Yes"</formula>
    </cfRule>
  </conditionalFormatting>
  <conditionalFormatting sqref="D205:D212">
    <cfRule type="cellIs" dxfId="1" priority="37" stopIfTrue="1" operator="equal">
      <formula>"Constraint"</formula>
    </cfRule>
  </conditionalFormatting>
  <conditionalFormatting sqref="F104">
    <cfRule type="expression" dxfId="0" priority="5">
      <formula>$C$88&lt;&gt;"Yes"</formula>
    </cfRule>
  </conditionalFormatting>
  <dataValidations count="11">
    <dataValidation type="custom" errorStyle="warning" allowBlank="1" showInputMessage="1" showErrorMessage="1" errorTitle="Flashboard Slots" error="If you do not have an least 2 inches of depth for each board slot, it is recommended that you attach the gate to the bulkhead using angle iron." sqref="C9" xr:uid="{00000000-0002-0000-0000-000000000000}">
      <formula1>($C$9-$C$8)&gt;=4</formula1>
    </dataValidation>
    <dataValidation type="custom" errorStyle="warning" allowBlank="1" showErrorMessage="1" errorTitle="Check Tubing Density" error="Make sure you adjust the &quot;weight of the cw support material&quot; after changing this value." sqref="C59" xr:uid="{00000000-0002-0000-0000-000001000000}">
      <formula1>$C$59&lt;0</formula1>
    </dataValidation>
    <dataValidation type="custom" errorStyle="warning" allowBlank="1" showInputMessage="1" showErrorMessage="1" errorTitle="Check Tubing Density" error="Make sure you adjust the &quot;weight of the cw support material&quot; after changing this value." sqref="C60" xr:uid="{00000000-0002-0000-0000-000002000000}">
      <formula1>$C$60&lt;0</formula1>
    </dataValidation>
    <dataValidation type="custom" errorStyle="warning" allowBlank="1" showErrorMessage="1" errorTitle="Check Tubing Density" error="Make sure you adjust the &quot;weight of the cw support material&quot; after changing this value." sqref="C52" xr:uid="{00000000-0002-0000-0000-000003000000}">
      <formula1>$C$52&lt;0</formula1>
    </dataValidation>
    <dataValidation type="custom" errorStyle="warning" allowBlank="1" showInputMessage="1" showErrorMessage="1" error="Caution: Your static frame vertical tubing depth (j) and horizontal tubing depth (r) do not match." sqref="C27" xr:uid="{00000000-0002-0000-0000-000004000000}">
      <formula1>IF(C27=C17,"TRUE","FALSE")</formula1>
    </dataValidation>
    <dataValidation type="custom" errorStyle="warning" allowBlank="1" showInputMessage="1" showErrorMessage="1" error="Your tubing width is less than your tubing depth." sqref="C18" xr:uid="{00000000-0002-0000-0000-000006000000}">
      <formula1>IF(C18&gt;=C17, TRUE, FALSE)</formula1>
    </dataValidation>
    <dataValidation type="whole" allowBlank="1" showInputMessage="1" showErrorMessage="1" error="Select a rebar size between 3 and 8." sqref="C71" xr:uid="{00000000-0002-0000-0000-000007000000}">
      <formula1>3</formula1>
      <formula2>8</formula2>
    </dataValidation>
    <dataValidation type="custom" errorStyle="warning" allowBlank="1" showInputMessage="1" showErrorMessage="1" error="Caution: Your input does not appear to be a common bearing size. Ensure availability." sqref="C85" xr:uid="{00000000-0002-0000-0000-000008000000}">
      <formula1>OR(C85=1/2, C85=5/8, C85=3/4, C85=7/8, C85=1, C85=1+3/16, C85=1+1/4, C85=1+7/16, C85=1+1/2, C85=1+3/4, C85=1+15/16, C85=2)</formula1>
    </dataValidation>
    <dataValidation type="list" allowBlank="1" showInputMessage="1" showErrorMessage="1" sqref="C88" xr:uid="{00000000-0002-0000-0000-000009000000}">
      <formula1>$M$97:$M$98</formula1>
    </dataValidation>
    <dataValidation type="list" allowBlank="1" showInputMessage="1" showErrorMessage="1" sqref="C91" xr:uid="{00000000-0002-0000-0000-00000A000000}">
      <formula1>$M$102:$M$103</formula1>
    </dataValidation>
    <dataValidation type="custom" errorStyle="warning" allowBlank="1" showInputMessage="1" showErrorMessage="1" error="Caution: Your variable (d) is not 4-6&quot; larger than variable (b)." sqref="C34" xr:uid="{00000000-0002-0000-0000-000005000000}">
      <formula1>IF(AND((C34-C12)&gt;=4,(C34-C12)&lt;=6),TRUE,FALSE)</formula1>
    </dataValidation>
  </dataValidations>
  <printOptions horizontalCentered="1" verticalCentered="1" headings="1" gridLines="1"/>
  <pageMargins left="0.7" right="0.7" top="0.75" bottom="0.75" header="0.3" footer="0.3"/>
  <pageSetup scale="96" fitToHeight="0" orientation="landscape" r:id="rId1"/>
  <headerFooter alignWithMargins="0">
    <oddHeader>&amp;F</oddHeader>
    <oddFooter>&amp;CPage &amp;P of &amp;N&amp;RITRC Flap Gate Program</oddFooter>
  </headerFooter>
  <rowBreaks count="2" manualBreakCount="2">
    <brk id="91" min="1" max="8" man="1"/>
    <brk id="113" min="1" max="8" man="1"/>
  </rowBreaks>
  <colBreaks count="1" manualBreakCount="1">
    <brk id="8" max="234"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workbookViewId="0">
      <selection activeCell="E16" sqref="E16"/>
    </sheetView>
  </sheetViews>
  <sheetFormatPr defaultColWidth="0" defaultRowHeight="12.75"/>
  <cols>
    <col min="1" max="1" width="8.85546875" style="87" customWidth="1"/>
    <col min="2" max="3" width="8.85546875" customWidth="1"/>
    <col min="4" max="4" width="13.140625" style="87" customWidth="1"/>
    <col min="5" max="5" width="13.140625" customWidth="1"/>
    <col min="6" max="6" width="8.85546875" customWidth="1"/>
    <col min="7" max="16384" width="8.85546875" hidden="1"/>
  </cols>
  <sheetData>
    <row r="1" spans="1:5">
      <c r="A1" s="583" t="s">
        <v>288</v>
      </c>
      <c r="B1" s="584"/>
      <c r="D1" s="583" t="s">
        <v>289</v>
      </c>
      <c r="E1" s="584"/>
    </row>
    <row r="2" spans="1:5">
      <c r="A2" s="285" t="s">
        <v>76</v>
      </c>
      <c r="B2" s="286">
        <f>Designer!$D$36</f>
        <v>5</v>
      </c>
      <c r="D2" s="285" t="s">
        <v>149</v>
      </c>
      <c r="E2" s="145">
        <f>Designer!$C$12</f>
        <v>32</v>
      </c>
    </row>
    <row r="3" spans="1:5">
      <c r="A3" s="285" t="s">
        <v>149</v>
      </c>
      <c r="B3" s="286">
        <f>Designer!$C$12</f>
        <v>32</v>
      </c>
      <c r="D3" s="285" t="s">
        <v>148</v>
      </c>
      <c r="E3" s="145">
        <f>Designer!C8</f>
        <v>64.5</v>
      </c>
    </row>
    <row r="4" spans="1:5">
      <c r="A4" s="285" t="s">
        <v>148</v>
      </c>
      <c r="B4" s="286">
        <f>Designer!$C$8</f>
        <v>64.5</v>
      </c>
      <c r="D4" s="285" t="s">
        <v>150</v>
      </c>
      <c r="E4" s="145">
        <f>Designer!$C$34</f>
        <v>37</v>
      </c>
    </row>
    <row r="5" spans="1:5">
      <c r="A5" s="285" t="s">
        <v>150</v>
      </c>
      <c r="B5" s="286">
        <f>Designer!$C$34</f>
        <v>37</v>
      </c>
      <c r="D5" s="285" t="s">
        <v>184</v>
      </c>
      <c r="E5" s="145">
        <f>Designer!$C$38</f>
        <v>2</v>
      </c>
    </row>
    <row r="6" spans="1:5">
      <c r="A6" s="285" t="s">
        <v>184</v>
      </c>
      <c r="B6" s="286">
        <f>Designer!$C$38</f>
        <v>2</v>
      </c>
      <c r="D6" s="285" t="s">
        <v>185</v>
      </c>
      <c r="E6" s="145">
        <f>Designer!$C$43</f>
        <v>0.5</v>
      </c>
    </row>
    <row r="7" spans="1:5">
      <c r="A7" s="285" t="s">
        <v>185</v>
      </c>
      <c r="B7" s="286">
        <f>Designer!$C$43</f>
        <v>0.5</v>
      </c>
      <c r="D7" s="285" t="s">
        <v>187</v>
      </c>
      <c r="E7" s="145">
        <f>Designer!$C$47</f>
        <v>0.5</v>
      </c>
    </row>
    <row r="8" spans="1:5">
      <c r="A8" s="285" t="s">
        <v>186</v>
      </c>
      <c r="B8" s="286">
        <f>Designer!$D$45</f>
        <v>53.5</v>
      </c>
      <c r="D8" s="285" t="s">
        <v>188</v>
      </c>
      <c r="E8" s="145">
        <f>Designer!$C$17</f>
        <v>2</v>
      </c>
    </row>
    <row r="9" spans="1:5">
      <c r="A9" s="285" t="s">
        <v>75</v>
      </c>
      <c r="B9" s="286">
        <f>Designer!$D$42</f>
        <v>30</v>
      </c>
      <c r="D9" s="285" t="s">
        <v>170</v>
      </c>
      <c r="E9" s="145">
        <f>Designer!$C$50</f>
        <v>2</v>
      </c>
    </row>
    <row r="10" spans="1:5">
      <c r="A10" s="285" t="s">
        <v>187</v>
      </c>
      <c r="B10" s="145">
        <f>Designer!$C$47</f>
        <v>0.5</v>
      </c>
      <c r="D10" s="285" t="s">
        <v>10</v>
      </c>
      <c r="E10" s="145">
        <f>Designer!$C$51</f>
        <v>4</v>
      </c>
    </row>
    <row r="11" spans="1:5">
      <c r="A11" s="285" t="s">
        <v>188</v>
      </c>
      <c r="B11" s="286">
        <f>Designer!$C$17</f>
        <v>2</v>
      </c>
      <c r="D11" s="285" t="s">
        <v>77</v>
      </c>
      <c r="E11" s="145">
        <f>Designer!$C$40</f>
        <v>7.5</v>
      </c>
    </row>
    <row r="12" spans="1:5">
      <c r="A12" s="285" t="s">
        <v>189</v>
      </c>
      <c r="B12" s="286">
        <f>Designer!$C$18</f>
        <v>8</v>
      </c>
      <c r="D12" s="285" t="s">
        <v>193</v>
      </c>
      <c r="E12" s="145">
        <f>Designer!$C$27</f>
        <v>2</v>
      </c>
    </row>
    <row r="13" spans="1:5">
      <c r="A13" s="285" t="s">
        <v>170</v>
      </c>
      <c r="B13" s="286">
        <f>Designer!$C$50</f>
        <v>2</v>
      </c>
      <c r="D13" s="285" t="s">
        <v>144</v>
      </c>
      <c r="E13" s="145">
        <f>Designer!$D$37</f>
        <v>36</v>
      </c>
    </row>
    <row r="14" spans="1:5">
      <c r="A14" s="285" t="s">
        <v>10</v>
      </c>
      <c r="B14" s="286">
        <f>Designer!$C$51</f>
        <v>4</v>
      </c>
      <c r="D14" s="285" t="s">
        <v>160</v>
      </c>
      <c r="E14" s="286">
        <f>Designer!C9</f>
        <v>72</v>
      </c>
    </row>
    <row r="15" spans="1:5">
      <c r="A15" s="285" t="s">
        <v>190</v>
      </c>
      <c r="B15" s="286">
        <f>Designer!C20</f>
        <v>2</v>
      </c>
      <c r="D15" s="285" t="s">
        <v>194</v>
      </c>
      <c r="E15" s="145">
        <f>Designer!$C$28</f>
        <v>2</v>
      </c>
    </row>
    <row r="16" spans="1:5">
      <c r="A16" s="285" t="s">
        <v>191</v>
      </c>
      <c r="B16" s="286">
        <f>Designer!$D$22</f>
        <v>1.75</v>
      </c>
      <c r="D16" s="285" t="s">
        <v>145</v>
      </c>
      <c r="E16" s="145">
        <f>Designer!$D$25</f>
        <v>52.5</v>
      </c>
    </row>
    <row r="17" spans="1:5">
      <c r="A17" s="285" t="s">
        <v>77</v>
      </c>
      <c r="B17" s="286">
        <f>Designer!$C$40</f>
        <v>7.5</v>
      </c>
      <c r="D17" s="285" t="s">
        <v>195</v>
      </c>
      <c r="E17" s="145">
        <f>Designer!$C$59</f>
        <v>6</v>
      </c>
    </row>
    <row r="18" spans="1:5">
      <c r="A18" s="285" t="s">
        <v>192</v>
      </c>
      <c r="B18" s="286">
        <f>Designer!$D$23</f>
        <v>6</v>
      </c>
      <c r="D18" s="285" t="s">
        <v>171</v>
      </c>
      <c r="E18" s="145">
        <f>Designer!$C$76</f>
        <v>18.5</v>
      </c>
    </row>
    <row r="19" spans="1:5">
      <c r="A19" s="285" t="s">
        <v>193</v>
      </c>
      <c r="B19" s="286">
        <f>Designer!$C$27</f>
        <v>2</v>
      </c>
      <c r="D19" s="285" t="s">
        <v>196</v>
      </c>
      <c r="E19" s="145">
        <f>Designer!$C$60</f>
        <v>4</v>
      </c>
    </row>
    <row r="20" spans="1:5">
      <c r="A20" s="285" t="s">
        <v>144</v>
      </c>
      <c r="B20" s="286">
        <f>Designer!$D$37</f>
        <v>36</v>
      </c>
      <c r="D20" s="285" t="s">
        <v>197</v>
      </c>
      <c r="E20" s="145">
        <f>Designer!$C$52</f>
        <v>0.25</v>
      </c>
    </row>
    <row r="21" spans="1:5">
      <c r="A21" s="285" t="s">
        <v>160</v>
      </c>
      <c r="B21" s="286">
        <f>Designer!$C$9</f>
        <v>72</v>
      </c>
      <c r="D21" s="285" t="s">
        <v>198</v>
      </c>
      <c r="E21" s="145">
        <f>Designer!$C$65</f>
        <v>24</v>
      </c>
    </row>
    <row r="22" spans="1:5">
      <c r="A22" s="285" t="s">
        <v>194</v>
      </c>
      <c r="B22" s="286">
        <f>Designer!$C$28</f>
        <v>2</v>
      </c>
      <c r="D22" s="285" t="s">
        <v>199</v>
      </c>
      <c r="E22" s="145">
        <f>Designer!$C$66</f>
        <v>0.25</v>
      </c>
    </row>
    <row r="23" spans="1:5">
      <c r="A23" s="285" t="s">
        <v>161</v>
      </c>
      <c r="B23" s="286">
        <f>Designer!$D$11</f>
        <v>3.75</v>
      </c>
      <c r="D23" s="285" t="s">
        <v>200</v>
      </c>
      <c r="E23" s="145">
        <f>Designer!$C$67</f>
        <v>37.5</v>
      </c>
    </row>
    <row r="24" spans="1:5">
      <c r="A24" s="285" t="s">
        <v>145</v>
      </c>
      <c r="B24" s="286">
        <f>Designer!$D$25</f>
        <v>52.5</v>
      </c>
      <c r="D24" s="285" t="s">
        <v>201</v>
      </c>
      <c r="E24" s="145">
        <f>Designer!$C$85</f>
        <v>2</v>
      </c>
    </row>
    <row r="25" spans="1:5">
      <c r="A25" s="285" t="s">
        <v>195</v>
      </c>
      <c r="B25" s="284">
        <f>Designer!$C$59</f>
        <v>6</v>
      </c>
      <c r="D25" s="285" t="s">
        <v>202</v>
      </c>
      <c r="E25" s="145" t="str">
        <f>IF(Designer!$F$135&gt;0,"CHECK","UNCHECK")</f>
        <v>UNCHECK</v>
      </c>
    </row>
    <row r="26" spans="1:5">
      <c r="A26" s="285" t="s">
        <v>171</v>
      </c>
      <c r="B26" s="286">
        <f>Designer!$C$76</f>
        <v>18.5</v>
      </c>
      <c r="D26" s="285" t="s">
        <v>203</v>
      </c>
      <c r="E26" s="145" t="str">
        <f>IF(Designer!$F$136&gt;0,"CHECK","UNCHECK")</f>
        <v>CHECK</v>
      </c>
    </row>
    <row r="27" spans="1:5">
      <c r="A27" s="285" t="s">
        <v>169</v>
      </c>
      <c r="B27" s="286">
        <f>Designer!$D$24</f>
        <v>68.5</v>
      </c>
      <c r="D27" s="285" t="s">
        <v>204</v>
      </c>
      <c r="E27" s="145" t="str">
        <f>IF(Designer!$F$137&gt;0,"CHECK","UNCHECK")</f>
        <v>CHECK</v>
      </c>
    </row>
    <row r="28" spans="1:5">
      <c r="A28" s="285" t="s">
        <v>196</v>
      </c>
      <c r="B28" s="284">
        <f>Designer!$C$60</f>
        <v>4</v>
      </c>
      <c r="D28" s="285" t="s">
        <v>205</v>
      </c>
      <c r="E28" s="145" t="str">
        <f>IF(Designer!$F$138&gt;0,"CHECK","UNCHECK")</f>
        <v>UNCHECK</v>
      </c>
    </row>
    <row r="29" spans="1:5">
      <c r="A29" s="285" t="s">
        <v>197</v>
      </c>
      <c r="B29" s="286">
        <f>Designer!$C$52</f>
        <v>0.25</v>
      </c>
      <c r="D29" s="285" t="s">
        <v>253</v>
      </c>
      <c r="E29" s="145">
        <f>Designer!$C$18</f>
        <v>8</v>
      </c>
    </row>
    <row r="30" spans="1:5">
      <c r="A30" s="285" t="s">
        <v>198</v>
      </c>
      <c r="B30" s="284">
        <f>Designer!$C$65</f>
        <v>24</v>
      </c>
      <c r="D30" s="285" t="s">
        <v>266</v>
      </c>
      <c r="E30" s="284">
        <f>Designer!$E$127</f>
        <v>33.512663920529477</v>
      </c>
    </row>
    <row r="31" spans="1:5">
      <c r="A31" s="285" t="s">
        <v>199</v>
      </c>
      <c r="B31" s="286">
        <f>Designer!$C$66</f>
        <v>0.25</v>
      </c>
      <c r="D31" s="285" t="s">
        <v>267</v>
      </c>
      <c r="E31" s="145">
        <f>Designer!$C$61</f>
        <v>0.25</v>
      </c>
    </row>
    <row r="32" spans="1:5">
      <c r="A32" s="285" t="s">
        <v>200</v>
      </c>
      <c r="B32" s="286">
        <f>Designer!$C$67</f>
        <v>37.5</v>
      </c>
      <c r="D32" s="285" t="s">
        <v>268</v>
      </c>
      <c r="E32" s="145">
        <f>Designer!$H$133</f>
        <v>46.5</v>
      </c>
    </row>
    <row r="33" spans="1:6">
      <c r="A33" s="285" t="s">
        <v>201</v>
      </c>
      <c r="B33" s="286">
        <f>Designer!$C$85</f>
        <v>2</v>
      </c>
      <c r="D33" s="285" t="s">
        <v>269</v>
      </c>
      <c r="E33" s="145">
        <f>Designer!$F$138</f>
        <v>0</v>
      </c>
    </row>
    <row r="34" spans="1:6">
      <c r="A34" s="285" t="s">
        <v>202</v>
      </c>
      <c r="B34" s="145" t="str">
        <f>IF(Designer!$F$135&gt;0,"TRUE","FALSE")</f>
        <v>FALSE</v>
      </c>
      <c r="D34" s="285" t="s">
        <v>270</v>
      </c>
      <c r="E34" s="145">
        <f>Designer!$H$147</f>
        <v>13.5</v>
      </c>
    </row>
    <row r="35" spans="1:6">
      <c r="A35" s="285" t="s">
        <v>203</v>
      </c>
      <c r="B35" s="145" t="str">
        <f>IF(Designer!$F$136&gt;0,"TRUE","FALSE")</f>
        <v>TRUE</v>
      </c>
      <c r="D35" s="285" t="s">
        <v>272</v>
      </c>
      <c r="E35" s="284">
        <f>Designer!E128</f>
        <v>48.663807681099605</v>
      </c>
    </row>
    <row r="36" spans="1:6">
      <c r="A36" s="285" t="s">
        <v>204</v>
      </c>
      <c r="B36" s="145" t="str">
        <f>IF(Designer!$F$137&gt;0,"TRUE","FALSE")</f>
        <v>TRUE</v>
      </c>
      <c r="D36" s="285" t="s">
        <v>322</v>
      </c>
      <c r="E36" s="145">
        <f>Designer!E142</f>
        <v>0</v>
      </c>
    </row>
    <row r="37" spans="1:6">
      <c r="A37" s="285" t="s">
        <v>205</v>
      </c>
      <c r="B37" s="145" t="str">
        <f>IF(Designer!$F$138&gt;0,"TRUE","FALSE")</f>
        <v>FALSE</v>
      </c>
      <c r="D37" s="285" t="s">
        <v>323</v>
      </c>
      <c r="E37" s="286">
        <f>Designer!F142</f>
        <v>0</v>
      </c>
    </row>
    <row r="38" spans="1:6">
      <c r="A38" s="285" t="s">
        <v>253</v>
      </c>
      <c r="B38" s="284">
        <f>Designer!$C$18</f>
        <v>8</v>
      </c>
      <c r="D38" s="285" t="s">
        <v>324</v>
      </c>
      <c r="E38" s="286">
        <f>Designer!H142</f>
        <v>0</v>
      </c>
    </row>
    <row r="39" spans="1:6">
      <c r="A39" s="285" t="s">
        <v>266</v>
      </c>
      <c r="B39" s="284">
        <f>Designer!$E$127</f>
        <v>33.512663920529477</v>
      </c>
      <c r="D39" s="285" t="s">
        <v>325</v>
      </c>
      <c r="E39" s="145">
        <f>Designer!C109</f>
        <v>0.25</v>
      </c>
    </row>
    <row r="40" spans="1:6">
      <c r="A40" s="285" t="s">
        <v>267</v>
      </c>
      <c r="B40" s="145">
        <f>Designer!$C$61</f>
        <v>0.25</v>
      </c>
      <c r="D40" s="285" t="s">
        <v>326</v>
      </c>
      <c r="E40" s="286">
        <f>Designer!C110</f>
        <v>10</v>
      </c>
    </row>
    <row r="41" spans="1:6">
      <c r="A41" s="285" t="s">
        <v>268</v>
      </c>
      <c r="B41" s="286">
        <f>Designer!$H$133</f>
        <v>46.5</v>
      </c>
      <c r="D41" s="285" t="s">
        <v>330</v>
      </c>
      <c r="E41" s="145" t="str">
        <f>RIGHT(Designer!I207,2)</f>
        <v>11</v>
      </c>
      <c r="F41" s="323" t="str">
        <f>IF(RIGHT(E42,1)="*","(omit asterisk)","")</f>
        <v/>
      </c>
    </row>
    <row r="42" spans="1:6">
      <c r="A42" s="285" t="s">
        <v>269</v>
      </c>
      <c r="B42" s="286">
        <f>Designer!$F$138</f>
        <v>0</v>
      </c>
      <c r="D42" s="285" t="s">
        <v>331</v>
      </c>
      <c r="E42" s="284" t="str">
        <f>Designer!E155</f>
        <v>50</v>
      </c>
    </row>
    <row r="43" spans="1:6">
      <c r="A43" s="285" t="s">
        <v>270</v>
      </c>
      <c r="B43" s="286">
        <f>Designer!$H$147</f>
        <v>13.5</v>
      </c>
      <c r="D43" s="285" t="s">
        <v>332</v>
      </c>
      <c r="E43" s="145">
        <f>Designer!C71</f>
        <v>4</v>
      </c>
    </row>
    <row r="44" spans="1:6">
      <c r="A44" s="285" t="s">
        <v>272</v>
      </c>
      <c r="B44" s="284">
        <f>Designer!E128</f>
        <v>48.663807681099605</v>
      </c>
      <c r="D44" s="285" t="s">
        <v>333</v>
      </c>
      <c r="E44" s="286">
        <f>Designer!H155</f>
        <v>49.5</v>
      </c>
    </row>
    <row r="45" spans="1:6">
      <c r="A45" s="285" t="s">
        <v>287</v>
      </c>
      <c r="B45" s="145">
        <f>Designer!C8</f>
        <v>64.5</v>
      </c>
      <c r="D45" s="285" t="s">
        <v>334</v>
      </c>
      <c r="E45" s="284">
        <f>Designer!E123</f>
        <v>460.17082754629627</v>
      </c>
    </row>
    <row r="46" spans="1:6">
      <c r="A46" s="285" t="s">
        <v>322</v>
      </c>
      <c r="B46" s="286">
        <f>Designer!E142</f>
        <v>0</v>
      </c>
      <c r="D46" s="285" t="s">
        <v>337</v>
      </c>
      <c r="E46" s="284">
        <f>Designer!AH90</f>
        <v>387.48213408308476</v>
      </c>
    </row>
    <row r="47" spans="1:6" ht="13.5" thickBot="1">
      <c r="A47" s="285" t="s">
        <v>323</v>
      </c>
      <c r="B47" s="286">
        <f>Designer!F142</f>
        <v>0</v>
      </c>
      <c r="D47" s="287" t="s">
        <v>453</v>
      </c>
      <c r="E47" s="474">
        <f>Designer!AL92</f>
        <v>-0.73336099150869249</v>
      </c>
    </row>
    <row r="48" spans="1:6">
      <c r="A48" s="285" t="s">
        <v>324</v>
      </c>
      <c r="B48" s="286">
        <f>Designer!H142</f>
        <v>0</v>
      </c>
    </row>
    <row r="49" spans="1:2">
      <c r="A49" s="285" t="s">
        <v>325</v>
      </c>
      <c r="B49" s="145">
        <f>Designer!C109</f>
        <v>0.25</v>
      </c>
    </row>
    <row r="50" spans="1:2">
      <c r="A50" s="285" t="s">
        <v>326</v>
      </c>
      <c r="B50" s="286">
        <f>Designer!C110</f>
        <v>10</v>
      </c>
    </row>
    <row r="51" spans="1:2">
      <c r="A51" s="285" t="s">
        <v>330</v>
      </c>
      <c r="B51" s="145" t="str">
        <f>RIGHT(Designer!I207,2)</f>
        <v>11</v>
      </c>
    </row>
    <row r="52" spans="1:2">
      <c r="A52" s="285" t="s">
        <v>331</v>
      </c>
      <c r="B52" s="284" t="str">
        <f>Designer!E155</f>
        <v>50</v>
      </c>
    </row>
    <row r="53" spans="1:2">
      <c r="A53" s="285" t="s">
        <v>332</v>
      </c>
      <c r="B53" s="145">
        <f>Designer!C71</f>
        <v>4</v>
      </c>
    </row>
    <row r="54" spans="1:2">
      <c r="A54" s="285" t="s">
        <v>333</v>
      </c>
      <c r="B54" s="286">
        <f>Designer!H155</f>
        <v>49.5</v>
      </c>
    </row>
    <row r="55" spans="1:2">
      <c r="A55" s="285" t="s">
        <v>334</v>
      </c>
      <c r="B55" s="284">
        <f>Designer!E123</f>
        <v>460.17082754629627</v>
      </c>
    </row>
    <row r="56" spans="1:2" ht="13.5" thickBot="1">
      <c r="A56" s="287" t="s">
        <v>337</v>
      </c>
      <c r="B56" s="423">
        <f>Designer!AH90</f>
        <v>387.48213408308476</v>
      </c>
    </row>
  </sheetData>
  <mergeCells count="2">
    <mergeCell ref="A1:B1"/>
    <mergeCell ref="D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0"/>
  <sheetViews>
    <sheetView topLeftCell="A79" zoomScaleNormal="100" workbookViewId="0">
      <selection activeCell="B221" sqref="A221:XFD1048576"/>
    </sheetView>
  </sheetViews>
  <sheetFormatPr defaultColWidth="0" defaultRowHeight="12.75" zeroHeight="1"/>
  <cols>
    <col min="1" max="10" width="8.85546875" customWidth="1"/>
    <col min="11" max="11" width="14.140625" customWidth="1"/>
    <col min="12" max="12" width="8.85546875" hidden="1" customWidth="1"/>
    <col min="13" max="13" width="6.85546875" hidden="1" customWidth="1"/>
    <col min="14" max="16384" width="8.85546875"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sheetData>
  <sheetProtection algorithmName="SHA-512" hashValue="elN613apBABh5T6Yz8DiGPo1RzLf5tUgvh4Ruwb2Ay/fP0sX5remuBKnAFkvBml9Rx0UE561mbAzE95LdxpXgA==" saltValue="8yxPGgqLnmPU1sAzWIjNnA==" spinCount="100000" sheet="1" objects="1" scenarios="1"/>
  <pageMargins left="0.25" right="0.25" top="0.75" bottom="0.75" header="0.3" footer="0.3"/>
  <pageSetup fitToHeight="4" orientation="portrait" r:id="rId1"/>
  <rowBreaks count="3" manualBreakCount="3">
    <brk id="55" max="10" man="1"/>
    <brk id="110" max="10" man="1"/>
    <brk id="165"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5"/>
  <sheetViews>
    <sheetView topLeftCell="A34" zoomScaleNormal="100" workbookViewId="0">
      <selection activeCell="C56" sqref="A56:XFD1048576"/>
    </sheetView>
  </sheetViews>
  <sheetFormatPr defaultColWidth="0" defaultRowHeight="12.75" zeroHeight="1"/>
  <cols>
    <col min="1" max="11" width="8.85546875" customWidth="1"/>
    <col min="12" max="12" width="5.5703125" customWidth="1"/>
    <col min="13" max="16384" width="8.85546875"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sheetData>
  <sheetProtection password="82A0" sheet="1" objects="1" scenarios="1"/>
  <pageMargins left="0.25" right="0.25"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Designer</vt:lpstr>
      <vt:lpstr>Solidworks Values</vt:lpstr>
      <vt:lpstr>Installation</vt:lpstr>
      <vt:lpstr>Tuning</vt:lpstr>
      <vt:lpstr>Designer!Print_Area</vt:lpstr>
      <vt:lpstr>Installation!Print_Area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ITRC Flap Gate Program</dc:title>
  <dc:creator>Burt - Cal Poly ITRC</dc:creator>
  <cp:lastModifiedBy>Sierra Orvis Layous</cp:lastModifiedBy>
  <cp:lastPrinted>2021-02-19T21:38:59Z</cp:lastPrinted>
  <dcterms:created xsi:type="dcterms:W3CDTF">1998-11-13T21:59:50Z</dcterms:created>
  <dcterms:modified xsi:type="dcterms:W3CDTF">2024-04-02T19:02:18Z</dcterms:modified>
</cp:coreProperties>
</file>